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0730" windowHeight="9270" activeTab="0"/>
  </bookViews>
  <sheets>
    <sheet name="结构化" sheetId="1" r:id="rId1"/>
  </sheets>
  <definedNames/>
  <calcPr fullCalcOnLoad="1"/>
</workbook>
</file>

<file path=xl/sharedStrings.xml><?xml version="1.0" encoding="utf-8"?>
<sst xmlns="http://schemas.openxmlformats.org/spreadsheetml/2006/main" count="718" uniqueCount="242">
  <si>
    <t>2020155-管理</t>
  </si>
  <si>
    <t>2020215-专业技术</t>
  </si>
  <si>
    <t>2020148-专业技术</t>
  </si>
  <si>
    <t>2020143-专业技术</t>
  </si>
  <si>
    <t>2020165-专业技术</t>
  </si>
  <si>
    <t>2020133-管理</t>
  </si>
  <si>
    <t>2020065-专业技术</t>
  </si>
  <si>
    <t>2020082-管理</t>
  </si>
  <si>
    <t>2020061-管理</t>
  </si>
  <si>
    <t>2020191-专业技术</t>
  </si>
  <si>
    <t>2020181-专业技术</t>
  </si>
  <si>
    <t>2020030-管理</t>
  </si>
  <si>
    <t>2020194-专业技术</t>
  </si>
  <si>
    <t>2020077-专业技术</t>
  </si>
  <si>
    <t>2020212-管理岗</t>
  </si>
  <si>
    <t>2020129-管理</t>
  </si>
  <si>
    <t>2020048-专业技术</t>
  </si>
  <si>
    <t>2020171-管理</t>
  </si>
  <si>
    <t>2020141-专业技术</t>
  </si>
  <si>
    <t>2020193-专业技术</t>
  </si>
  <si>
    <t>2020031-专业技术</t>
  </si>
  <si>
    <t>2020204-专业技术</t>
  </si>
  <si>
    <t>2020137-管理</t>
  </si>
  <si>
    <t>2020169-专业技术</t>
  </si>
  <si>
    <t>2020003-管理</t>
  </si>
  <si>
    <t>2020005-管理</t>
  </si>
  <si>
    <t>2020002-管理</t>
  </si>
  <si>
    <t>2020038-专业技术</t>
  </si>
  <si>
    <t>2020008-管理</t>
  </si>
  <si>
    <t>2020095-专业技术</t>
  </si>
  <si>
    <t>2020027-专业技术</t>
  </si>
  <si>
    <t>2020145-专业技术</t>
  </si>
  <si>
    <t>2020162-专业技术</t>
  </si>
  <si>
    <t>2020110-管理</t>
  </si>
  <si>
    <t>2020168-管理</t>
  </si>
  <si>
    <t>2020058-专业技术</t>
  </si>
  <si>
    <t>2020125-专业技术</t>
  </si>
  <si>
    <t>2020060-专业技术</t>
  </si>
  <si>
    <t>2020045-专业技术</t>
  </si>
  <si>
    <t>2020102-管理</t>
  </si>
  <si>
    <t>2020066-专业技术</t>
  </si>
  <si>
    <t>2020189-管理</t>
  </si>
  <si>
    <t>2020047-专业技术</t>
  </si>
  <si>
    <t>2020211-专业技术</t>
  </si>
  <si>
    <t>2020036-专业技术</t>
  </si>
  <si>
    <t>2020072-专业技术</t>
  </si>
  <si>
    <t>2020103-管理</t>
  </si>
  <si>
    <t>2020004-专业技术</t>
  </si>
  <si>
    <t>2020154-专业技术</t>
  </si>
  <si>
    <t>2020079-专业技术</t>
  </si>
  <si>
    <t>2020062-管理</t>
  </si>
  <si>
    <t>2020057-专业技术</t>
  </si>
  <si>
    <t>2020134-管理</t>
  </si>
  <si>
    <t>2020049-专业技术</t>
  </si>
  <si>
    <t>2020186-专业技术</t>
  </si>
  <si>
    <t>2020216-管理</t>
  </si>
  <si>
    <t>2020100-管理</t>
  </si>
  <si>
    <t>2020173-专业技术</t>
  </si>
  <si>
    <t>2020091-专业技术</t>
  </si>
  <si>
    <t>2020195-专业技术</t>
  </si>
  <si>
    <t>2020130-管理</t>
  </si>
  <si>
    <t>2020174-专业技术</t>
  </si>
  <si>
    <t>2020131-专业技术</t>
  </si>
  <si>
    <t>2020184-专业技术</t>
  </si>
  <si>
    <t>2020081-管理</t>
  </si>
  <si>
    <t>2020144-专业技术</t>
  </si>
  <si>
    <t>2020037-专业技术</t>
  </si>
  <si>
    <t>2020053-管理</t>
  </si>
  <si>
    <t>2020032-专业技术</t>
  </si>
  <si>
    <t>2020028-管理</t>
  </si>
  <si>
    <t>2020140-管理</t>
  </si>
  <si>
    <t>2020007-专业技术</t>
  </si>
  <si>
    <t>2020213-专业技术</t>
  </si>
  <si>
    <t>2020086-专业技术</t>
  </si>
  <si>
    <t>2020055-专业技术</t>
  </si>
  <si>
    <t>2020074-管理</t>
  </si>
  <si>
    <t>2020205-管理</t>
  </si>
  <si>
    <t>2020187-专业技术</t>
  </si>
  <si>
    <t>2020135-专业技术</t>
  </si>
  <si>
    <t>2020107-专业技术</t>
  </si>
  <si>
    <t>2020083-专业技术</t>
  </si>
  <si>
    <t>2020198-专业技术</t>
  </si>
  <si>
    <t>2020207-专业技术</t>
  </si>
  <si>
    <t>2020093-专业技术</t>
  </si>
  <si>
    <t>2020034-管理</t>
  </si>
  <si>
    <t>2020188-管理</t>
  </si>
  <si>
    <t>2020183-管理</t>
  </si>
  <si>
    <t>2020044-专业技术</t>
  </si>
  <si>
    <t>2020111-专业技术</t>
  </si>
  <si>
    <t>2020124-专业技术</t>
  </si>
  <si>
    <t>2020128-专业技术</t>
  </si>
  <si>
    <t>2020064-专业技术</t>
  </si>
  <si>
    <t>2020153-专业技术</t>
  </si>
  <si>
    <t>2020040-管理</t>
  </si>
  <si>
    <t>2020098-专业技术</t>
  </si>
  <si>
    <t>2020149-专业技术</t>
  </si>
  <si>
    <t>2020147-专业技术</t>
  </si>
  <si>
    <t>2020054-专业技术</t>
  </si>
  <si>
    <t>2020029-管理</t>
  </si>
  <si>
    <t>2020139-专业技术</t>
  </si>
  <si>
    <t>2020196-专业技术</t>
  </si>
  <si>
    <t>2020197-专业技术</t>
  </si>
  <si>
    <t>2020051-专业技术</t>
  </si>
  <si>
    <t>2020206-管理</t>
  </si>
  <si>
    <t>2020006-专业技术</t>
  </si>
  <si>
    <t>2020094-专业技术</t>
  </si>
  <si>
    <t>2020108-管理</t>
  </si>
  <si>
    <t>2020063-管理</t>
  </si>
  <si>
    <t>2020177-专业技术</t>
  </si>
  <si>
    <t>2020142-专业技术</t>
  </si>
  <si>
    <t>2020046-专业技术</t>
  </si>
  <si>
    <t>2020158-专业技术</t>
  </si>
  <si>
    <t>2020033-专业技术</t>
  </si>
  <si>
    <t>2020097-专业技术</t>
  </si>
  <si>
    <t>2020172-专业技术</t>
  </si>
  <si>
    <t>2020123-管理</t>
  </si>
  <si>
    <t>2020043-专业技术</t>
  </si>
  <si>
    <t>2020078-专业技术</t>
  </si>
  <si>
    <t>2020068-管理</t>
  </si>
  <si>
    <t>2020042-专业技术</t>
  </si>
  <si>
    <t>2020039-专业技术</t>
  </si>
  <si>
    <t>2020190-管理</t>
  </si>
  <si>
    <t>2020069-管理</t>
  </si>
  <si>
    <t>2020175-专业技术</t>
  </si>
  <si>
    <t>2020067-专业技术</t>
  </si>
  <si>
    <t>2020041-专业技术</t>
  </si>
  <si>
    <t>2020159-专业技术</t>
  </si>
  <si>
    <t>2020050-专业技术</t>
  </si>
  <si>
    <t>2020080-管理</t>
  </si>
  <si>
    <t>2020176-专业技术</t>
  </si>
  <si>
    <t>2020001-专业技术</t>
  </si>
  <si>
    <t>2020192-专业技术</t>
  </si>
  <si>
    <t>2020201-专业技术</t>
  </si>
  <si>
    <t>2020132-管理</t>
  </si>
  <si>
    <t>2020152-专业技术</t>
  </si>
  <si>
    <t>2020035-专业技术</t>
  </si>
  <si>
    <t>2020089-专业技术</t>
  </si>
  <si>
    <t>2020160-管理</t>
  </si>
  <si>
    <t>2020092-管理</t>
  </si>
  <si>
    <t>2020099-管理</t>
  </si>
  <si>
    <t>2020096-专业技术</t>
  </si>
  <si>
    <t>2020127-专业技术</t>
  </si>
  <si>
    <t>2020075-管理</t>
  </si>
  <si>
    <t>2020185-专业技术</t>
  </si>
  <si>
    <t>2020182-专业技术</t>
  </si>
  <si>
    <t>2020052-专业技术</t>
  </si>
  <si>
    <t>2020170-专业技术</t>
  </si>
  <si>
    <t>2020105-管理</t>
  </si>
  <si>
    <t>2020150-专业技术</t>
  </si>
  <si>
    <t>2020199-专业技术</t>
  </si>
  <si>
    <t>2020059-管理</t>
  </si>
  <si>
    <t>2020138-专业技术</t>
  </si>
  <si>
    <t>2020109-专业技术</t>
  </si>
  <si>
    <t>2020070-管理</t>
  </si>
  <si>
    <t>2020073-专业技术</t>
  </si>
  <si>
    <t>2020088-专业技术</t>
  </si>
  <si>
    <t>2020156-专业技术</t>
  </si>
  <si>
    <t>2020210-专业技术</t>
  </si>
  <si>
    <t>2020104-专业技术</t>
  </si>
  <si>
    <t>2020202-专业技术</t>
  </si>
  <si>
    <t>2020151-专业技术</t>
  </si>
  <si>
    <t>2020209-专业技术</t>
  </si>
  <si>
    <t>2020056-专业技术</t>
  </si>
  <si>
    <t>2020087-管理</t>
  </si>
  <si>
    <t>2020084-专业技术</t>
  </si>
  <si>
    <t>2020106-管理</t>
  </si>
  <si>
    <t>2020203-专业技术</t>
  </si>
  <si>
    <t>2020214-专业技术</t>
  </si>
  <si>
    <t>2020085-专业技术</t>
  </si>
  <si>
    <t>2020090-管理</t>
  </si>
  <si>
    <t>2020200-专业技术</t>
  </si>
  <si>
    <t>2020101-管理</t>
  </si>
  <si>
    <t>2020136-管理</t>
  </si>
  <si>
    <t>2020013126</t>
  </si>
  <si>
    <t>2020044610</t>
  </si>
  <si>
    <t>2020011602</t>
  </si>
  <si>
    <t>2020023403</t>
  </si>
  <si>
    <t>2020033305</t>
  </si>
  <si>
    <t>2020047319</t>
  </si>
  <si>
    <t>2020043625</t>
  </si>
  <si>
    <t>2020041903</t>
  </si>
  <si>
    <t>2020042502</t>
  </si>
  <si>
    <t>2020042029</t>
  </si>
  <si>
    <t>2020041230</t>
  </si>
  <si>
    <t>2020022622</t>
  </si>
  <si>
    <t>2020033820</t>
  </si>
  <si>
    <t>2020045912</t>
  </si>
  <si>
    <t>2020033430</t>
  </si>
  <si>
    <t>2020032405</t>
  </si>
  <si>
    <t>2020021704</t>
  </si>
  <si>
    <t>2020021320</t>
  </si>
  <si>
    <t>2020010823</t>
  </si>
  <si>
    <t>2020021509</t>
  </si>
  <si>
    <t>2020022209</t>
  </si>
  <si>
    <t>2020045718</t>
  </si>
  <si>
    <t>2020011204</t>
  </si>
  <si>
    <t>2020030805</t>
  </si>
  <si>
    <t>2020031824</t>
  </si>
  <si>
    <t>2020021130</t>
  </si>
  <si>
    <t>2020011626</t>
  </si>
  <si>
    <t>2020042622</t>
  </si>
  <si>
    <t>2020033920</t>
  </si>
  <si>
    <t>2020010502</t>
  </si>
  <si>
    <t>2020033303</t>
  </si>
  <si>
    <t>2020023717</t>
  </si>
  <si>
    <t>2020021423</t>
  </si>
  <si>
    <t>2020045824</t>
  </si>
  <si>
    <t>2020040220</t>
  </si>
  <si>
    <t>2020013304</t>
  </si>
  <si>
    <t>2020024605</t>
  </si>
  <si>
    <t>2020012403</t>
  </si>
  <si>
    <t>2020012621</t>
  </si>
  <si>
    <t>2020010407</t>
  </si>
  <si>
    <t>2020020309</t>
  </si>
  <si>
    <t>2020047003</t>
  </si>
  <si>
    <t>2020011712</t>
  </si>
  <si>
    <t>2020040917</t>
  </si>
  <si>
    <t>2020020322</t>
  </si>
  <si>
    <t>2020042916</t>
  </si>
  <si>
    <t>2020011321</t>
  </si>
  <si>
    <t>2020045924</t>
  </si>
  <si>
    <t>2020043610</t>
  </si>
  <si>
    <t>2020043109</t>
  </si>
  <si>
    <t>2020042109</t>
  </si>
  <si>
    <t>2020046925</t>
  </si>
  <si>
    <t>2020043706</t>
  </si>
  <si>
    <t>2020023925</t>
  </si>
  <si>
    <t>2020010522</t>
  </si>
  <si>
    <t>2020032327</t>
  </si>
  <si>
    <t>2020043226</t>
  </si>
  <si>
    <t>2020043501</t>
  </si>
  <si>
    <t>2020022929</t>
  </si>
  <si>
    <t>缺考</t>
  </si>
  <si>
    <t>序号</t>
  </si>
  <si>
    <t>岗位代码</t>
  </si>
  <si>
    <t>准考证号码</t>
  </si>
  <si>
    <t>公共基础知识成绩</t>
  </si>
  <si>
    <t>职业能力测试成绩</t>
  </si>
  <si>
    <t>笔试合成成绩</t>
  </si>
  <si>
    <t>面试成绩</t>
  </si>
  <si>
    <t>2020年度淮北市事业单位公开招聘工作人员结构化面试岗位人员面试成绩及总成绩</t>
  </si>
  <si>
    <r>
      <t>总成绩　　　　　　　　　　</t>
    </r>
    <r>
      <rPr>
        <sz val="11"/>
        <rFont val="仿宋_GB2312"/>
        <family val="3"/>
      </rPr>
      <t>（笔试合成成绩÷2×0.6+面试成绩×0.4）</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</si>
</sst>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00;[Red]0.00"/>
    <numFmt numFmtId="179" formatCode="0.00_ "/>
    <numFmt numFmtId="180" formatCode="0_ "/>
    <numFmt numFmtId="181" formatCode="0.00_);[Red]\(0.00\)"/>
  </numFmts>
  <fonts count="45">
    <font>
      <sz val="11"/>
      <color theme="1"/>
      <name val="Calibri"/>
      <family val="0"/>
    </font>
    <font>
      <sz val="11"/>
      <color indexed="8"/>
      <name val="宋体"/>
      <family val="0"/>
    </font>
    <font>
      <sz val="9"/>
      <name val="宋体"/>
      <family val="0"/>
    </font>
    <font>
      <sz val="10"/>
      <name val="Arial"/>
      <family val="2"/>
    </font>
    <font>
      <sz val="12"/>
      <color indexed="8"/>
      <name val="Times New Roman"/>
      <family val="1"/>
    </font>
    <font>
      <sz val="11"/>
      <name val="黑体"/>
      <family val="3"/>
    </font>
    <font>
      <sz val="10"/>
      <name val="黑体"/>
      <family val="3"/>
    </font>
    <font>
      <sz val="11"/>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6"/>
      <color indexed="8"/>
      <name val="方正大标宋简体"/>
      <family val="0"/>
    </font>
    <font>
      <sz val="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6"/>
      <color theme="1"/>
      <name val="方正大标宋简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3" fillId="0" borderId="0">
      <alignment/>
      <protection/>
    </xf>
    <xf numFmtId="0" fontId="33" fillId="20"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1" fillId="31" borderId="9" applyNumberFormat="0" applyFont="0" applyAlignment="0" applyProtection="0"/>
  </cellStyleXfs>
  <cellXfs count="30">
    <xf numFmtId="0" fontId="0" fillId="0" borderId="0" xfId="0" applyFont="1" applyAlignment="1">
      <alignment vertical="center"/>
    </xf>
    <xf numFmtId="178" fontId="3" fillId="0" borderId="10" xfId="40" applyNumberFormat="1" applyFont="1" applyFill="1" applyBorder="1" applyAlignment="1">
      <alignment horizontal="center" vertical="center"/>
      <protection/>
    </xf>
    <xf numFmtId="0" fontId="3" fillId="0" borderId="10" xfId="40" applyFont="1" applyBorder="1" applyAlignment="1">
      <alignment horizontal="center"/>
      <protection/>
    </xf>
    <xf numFmtId="178" fontId="3" fillId="0" borderId="10" xfId="40" applyNumberFormat="1" applyFont="1" applyBorder="1" applyAlignment="1">
      <alignment horizontal="center"/>
      <protection/>
    </xf>
    <xf numFmtId="0" fontId="43" fillId="0" borderId="10" xfId="0" applyFont="1" applyBorder="1" applyAlignment="1">
      <alignment horizontal="center" vertical="center"/>
    </xf>
    <xf numFmtId="0" fontId="43" fillId="0" borderId="0" xfId="0" applyFont="1" applyAlignment="1">
      <alignment vertical="center"/>
    </xf>
    <xf numFmtId="0" fontId="43" fillId="0" borderId="10" xfId="0" applyFont="1" applyFill="1" applyBorder="1" applyAlignment="1">
      <alignment horizontal="center" vertical="center"/>
    </xf>
    <xf numFmtId="49" fontId="3" fillId="0" borderId="10" xfId="40" applyNumberFormat="1" applyFont="1" applyBorder="1" applyAlignment="1">
      <alignment horizontal="center"/>
      <protection/>
    </xf>
    <xf numFmtId="0" fontId="4" fillId="0" borderId="11" xfId="0" applyNumberFormat="1" applyFont="1" applyFill="1" applyBorder="1" applyAlignment="1">
      <alignment horizontal="center" vertical="center" shrinkToFit="1"/>
    </xf>
    <xf numFmtId="178" fontId="3" fillId="0" borderId="11" xfId="40" applyNumberFormat="1" applyFont="1" applyFill="1" applyBorder="1" applyAlignment="1">
      <alignment horizontal="center" vertical="center"/>
      <protection/>
    </xf>
    <xf numFmtId="0" fontId="4" fillId="0" borderId="10" xfId="0" applyNumberFormat="1" applyFont="1" applyFill="1" applyBorder="1" applyAlignment="1">
      <alignment horizontal="center" vertical="center" shrinkToFit="1"/>
    </xf>
    <xf numFmtId="0" fontId="5" fillId="0" borderId="10" xfId="0" applyFont="1" applyBorder="1" applyAlignment="1">
      <alignment horizontal="center" vertical="center"/>
    </xf>
    <xf numFmtId="49" fontId="5" fillId="0" borderId="10" xfId="0" applyNumberFormat="1" applyFont="1" applyFill="1" applyBorder="1" applyAlignment="1">
      <alignment horizontal="center" vertical="center" wrapText="1"/>
    </xf>
    <xf numFmtId="178" fontId="6" fillId="0" borderId="10" xfId="40" applyNumberFormat="1" applyFont="1" applyFill="1" applyBorder="1" applyAlignment="1">
      <alignment horizontal="center" vertical="center" wrapText="1"/>
      <protection/>
    </xf>
    <xf numFmtId="180" fontId="5" fillId="0" borderId="10"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181" fontId="3" fillId="0" borderId="10" xfId="40" applyNumberFormat="1" applyFont="1" applyFill="1" applyBorder="1" applyAlignment="1">
      <alignment horizontal="center" vertical="center"/>
      <protection/>
    </xf>
    <xf numFmtId="181" fontId="0" fillId="0" borderId="0" xfId="0" applyNumberFormat="1" applyAlignment="1">
      <alignment vertical="center"/>
    </xf>
    <xf numFmtId="0" fontId="43" fillId="0" borderId="0" xfId="0" applyFont="1" applyFill="1" applyBorder="1" applyAlignment="1">
      <alignment horizontal="center" vertical="center"/>
    </xf>
    <xf numFmtId="178" fontId="3" fillId="0" borderId="0" xfId="40" applyNumberFormat="1" applyFont="1" applyFill="1" applyBorder="1" applyAlignment="1">
      <alignment horizontal="center" vertical="center"/>
      <protection/>
    </xf>
    <xf numFmtId="0" fontId="3" fillId="0" borderId="0" xfId="40" applyFont="1" applyBorder="1" applyAlignment="1">
      <alignment horizontal="center"/>
      <protection/>
    </xf>
    <xf numFmtId="178" fontId="3" fillId="0" borderId="0" xfId="40" applyNumberFormat="1" applyFont="1" applyBorder="1" applyAlignment="1">
      <alignment horizontal="center"/>
      <protection/>
    </xf>
    <xf numFmtId="181" fontId="3" fillId="0" borderId="0" xfId="40" applyNumberFormat="1" applyFont="1" applyFill="1" applyBorder="1" applyAlignment="1">
      <alignment horizontal="center" vertical="center"/>
      <protection/>
    </xf>
    <xf numFmtId="0" fontId="0" fillId="0" borderId="0" xfId="0" applyBorder="1" applyAlignment="1">
      <alignment horizontal="center" vertical="center"/>
    </xf>
    <xf numFmtId="49" fontId="3" fillId="0" borderId="0" xfId="40" applyNumberFormat="1" applyFont="1" applyBorder="1" applyAlignment="1">
      <alignment horizontal="center"/>
      <protection/>
    </xf>
    <xf numFmtId="0" fontId="4" fillId="0" borderId="0" xfId="0" applyNumberFormat="1" applyFont="1" applyFill="1" applyBorder="1" applyAlignment="1">
      <alignment horizontal="center" vertical="center" shrinkToFit="1"/>
    </xf>
    <xf numFmtId="0" fontId="44" fillId="0" borderId="0" xfId="0" applyFont="1" applyAlignment="1">
      <alignment horizontal="center" vertical="center"/>
    </xf>
    <xf numFmtId="49" fontId="0" fillId="0" borderId="0" xfId="0" applyNumberFormat="1" applyFill="1" applyBorder="1" applyAlignment="1">
      <alignment horizontal="center" vertical="center"/>
    </xf>
    <xf numFmtId="0" fontId="3" fillId="0" borderId="0" xfId="40" applyBorder="1" applyAlignment="1">
      <alignment horizontal="center"/>
      <protection/>
    </xf>
    <xf numFmtId="178" fontId="26" fillId="0" borderId="0" xfId="40" applyNumberFormat="1" applyFont="1" applyFill="1" applyBorder="1" applyAlignment="1">
      <alignment horizontal="center" vertical="center"/>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89"/>
  <sheetViews>
    <sheetView tabSelected="1" zoomScalePageLayoutView="0" workbookViewId="0" topLeftCell="A558">
      <selection activeCell="A3" sqref="A3:A589"/>
    </sheetView>
  </sheetViews>
  <sheetFormatPr defaultColWidth="9.140625" defaultRowHeight="15"/>
  <cols>
    <col min="2" max="2" width="20.57421875" style="0" customWidth="1"/>
    <col min="3" max="3" width="17.140625" style="0" customWidth="1"/>
    <col min="6" max="6" width="13.140625" style="0" customWidth="1"/>
    <col min="8" max="8" width="21.421875" style="17" customWidth="1"/>
    <col min="9" max="9" width="17.8515625" style="0" customWidth="1"/>
    <col min="10" max="10" width="13.57421875" style="0" customWidth="1"/>
  </cols>
  <sheetData>
    <row r="1" spans="1:8" ht="45" customHeight="1">
      <c r="A1" s="26" t="s">
        <v>240</v>
      </c>
      <c r="B1" s="26"/>
      <c r="C1" s="26"/>
      <c r="D1" s="26"/>
      <c r="E1" s="26"/>
      <c r="F1" s="26"/>
      <c r="G1" s="26"/>
      <c r="H1" s="26"/>
    </row>
    <row r="2" spans="1:8" ht="54.75" customHeight="1">
      <c r="A2" s="11" t="s">
        <v>233</v>
      </c>
      <c r="B2" s="12" t="s">
        <v>234</v>
      </c>
      <c r="C2" s="12" t="s">
        <v>235</v>
      </c>
      <c r="D2" s="13" t="s">
        <v>236</v>
      </c>
      <c r="E2" s="14" t="s">
        <v>237</v>
      </c>
      <c r="F2" s="14" t="s">
        <v>238</v>
      </c>
      <c r="G2" s="14" t="s">
        <v>239</v>
      </c>
      <c r="H2" s="15" t="s">
        <v>241</v>
      </c>
    </row>
    <row r="3" spans="1:8" ht="13.5">
      <c r="A3" s="4">
        <v>1</v>
      </c>
      <c r="B3" s="6" t="s">
        <v>130</v>
      </c>
      <c r="C3" s="6" t="str">
        <f>"2020013920"</f>
        <v>2020013920</v>
      </c>
      <c r="D3" s="1">
        <v>73.5</v>
      </c>
      <c r="E3" s="2">
        <v>80.5</v>
      </c>
      <c r="F3" s="3">
        <f aca="true" t="shared" si="0" ref="F3:F9">D3+E3</f>
        <v>154</v>
      </c>
      <c r="G3" s="1">
        <v>74.4</v>
      </c>
      <c r="H3" s="16">
        <f aca="true" t="shared" si="1" ref="H3:H12">F3*0.5*0.6+G3*0.4</f>
        <v>75.96000000000001</v>
      </c>
    </row>
    <row r="4" spans="1:8" ht="13.5">
      <c r="A4" s="4">
        <v>2</v>
      </c>
      <c r="B4" s="6" t="s">
        <v>130</v>
      </c>
      <c r="C4" s="6" t="str">
        <f>"2020031209"</f>
        <v>2020031209</v>
      </c>
      <c r="D4" s="1">
        <v>66.3</v>
      </c>
      <c r="E4" s="2">
        <v>71.5</v>
      </c>
      <c r="F4" s="3">
        <f t="shared" si="0"/>
        <v>137.8</v>
      </c>
      <c r="G4" s="1">
        <v>72</v>
      </c>
      <c r="H4" s="16">
        <f t="shared" si="1"/>
        <v>70.14</v>
      </c>
    </row>
    <row r="5" spans="1:8" ht="13.5">
      <c r="A5" s="4">
        <v>3</v>
      </c>
      <c r="B5" s="6" t="s">
        <v>26</v>
      </c>
      <c r="C5" s="6" t="str">
        <f>"2020032819"</f>
        <v>2020032819</v>
      </c>
      <c r="D5" s="1">
        <v>73.4</v>
      </c>
      <c r="E5" s="2">
        <v>82</v>
      </c>
      <c r="F5" s="3">
        <f t="shared" si="0"/>
        <v>155.4</v>
      </c>
      <c r="G5" s="1">
        <v>73.8</v>
      </c>
      <c r="H5" s="16">
        <f t="shared" si="1"/>
        <v>76.14</v>
      </c>
    </row>
    <row r="6" spans="1:8" ht="13.5">
      <c r="A6" s="4">
        <v>4</v>
      </c>
      <c r="B6" s="6" t="s">
        <v>26</v>
      </c>
      <c r="C6" s="6" t="str">
        <f>"2020023424"</f>
        <v>2020023424</v>
      </c>
      <c r="D6" s="1">
        <v>74.4</v>
      </c>
      <c r="E6" s="2">
        <v>78</v>
      </c>
      <c r="F6" s="3">
        <f t="shared" si="0"/>
        <v>152.4</v>
      </c>
      <c r="G6" s="1">
        <v>71.8</v>
      </c>
      <c r="H6" s="16">
        <f t="shared" si="1"/>
        <v>74.44</v>
      </c>
    </row>
    <row r="7" spans="1:8" ht="13.5">
      <c r="A7" s="4">
        <v>5</v>
      </c>
      <c r="B7" s="6" t="s">
        <v>26</v>
      </c>
      <c r="C7" s="6" t="str">
        <f>"2020010303"</f>
        <v>2020010303</v>
      </c>
      <c r="D7" s="1">
        <v>70.3</v>
      </c>
      <c r="E7" s="2">
        <v>80.5</v>
      </c>
      <c r="F7" s="3">
        <f t="shared" si="0"/>
        <v>150.8</v>
      </c>
      <c r="G7" s="1">
        <v>70.6</v>
      </c>
      <c r="H7" s="16">
        <f t="shared" si="1"/>
        <v>73.48</v>
      </c>
    </row>
    <row r="8" spans="1:8" ht="13.5">
      <c r="A8" s="4">
        <v>6</v>
      </c>
      <c r="B8" s="6" t="s">
        <v>24</v>
      </c>
      <c r="C8" s="6" t="str">
        <f>"2020043825"</f>
        <v>2020043825</v>
      </c>
      <c r="D8" s="1">
        <v>77.1</v>
      </c>
      <c r="E8" s="2">
        <v>89</v>
      </c>
      <c r="F8" s="3">
        <f t="shared" si="0"/>
        <v>166.1</v>
      </c>
      <c r="G8" s="1">
        <v>76.2</v>
      </c>
      <c r="H8" s="16">
        <f t="shared" si="1"/>
        <v>80.31</v>
      </c>
    </row>
    <row r="9" spans="1:8" ht="13.5">
      <c r="A9" s="4">
        <v>7</v>
      </c>
      <c r="B9" s="6" t="s">
        <v>24</v>
      </c>
      <c r="C9" s="6" t="str">
        <f>"2020013115"</f>
        <v>2020013115</v>
      </c>
      <c r="D9" s="1">
        <v>73.1</v>
      </c>
      <c r="E9" s="2">
        <v>92</v>
      </c>
      <c r="F9" s="3">
        <f t="shared" si="0"/>
        <v>165.1</v>
      </c>
      <c r="G9" s="1">
        <v>72.8</v>
      </c>
      <c r="H9" s="16">
        <f t="shared" si="1"/>
        <v>78.64999999999999</v>
      </c>
    </row>
    <row r="10" spans="1:8" ht="13.5">
      <c r="A10" s="4">
        <v>8</v>
      </c>
      <c r="B10" s="6" t="s">
        <v>24</v>
      </c>
      <c r="C10" s="6" t="s">
        <v>173</v>
      </c>
      <c r="D10" s="1">
        <v>72.7</v>
      </c>
      <c r="E10" s="2">
        <v>88</v>
      </c>
      <c r="F10" s="7">
        <v>160.7</v>
      </c>
      <c r="G10" s="1">
        <v>69.6</v>
      </c>
      <c r="H10" s="16">
        <f t="shared" si="1"/>
        <v>76.05</v>
      </c>
    </row>
    <row r="11" spans="1:8" ht="13.5">
      <c r="A11" s="4">
        <v>9</v>
      </c>
      <c r="B11" s="6" t="s">
        <v>47</v>
      </c>
      <c r="C11" s="6" t="str">
        <f>"2020047207"</f>
        <v>2020047207</v>
      </c>
      <c r="D11" s="1">
        <v>69.8</v>
      </c>
      <c r="E11" s="2">
        <v>86</v>
      </c>
      <c r="F11" s="3">
        <f aca="true" t="shared" si="2" ref="F11:F30">D11+E11</f>
        <v>155.8</v>
      </c>
      <c r="G11" s="1">
        <v>74.8</v>
      </c>
      <c r="H11" s="16">
        <f t="shared" si="1"/>
        <v>76.66</v>
      </c>
    </row>
    <row r="12" spans="1:8" ht="13.5">
      <c r="A12" s="4">
        <v>10</v>
      </c>
      <c r="B12" s="6" t="s">
        <v>47</v>
      </c>
      <c r="C12" s="6" t="str">
        <f>"2020030924"</f>
        <v>2020030924</v>
      </c>
      <c r="D12" s="1">
        <v>75.6</v>
      </c>
      <c r="E12" s="2">
        <v>79.5</v>
      </c>
      <c r="F12" s="3">
        <f t="shared" si="2"/>
        <v>155.1</v>
      </c>
      <c r="G12" s="1">
        <v>74</v>
      </c>
      <c r="H12" s="16">
        <f t="shared" si="1"/>
        <v>76.13</v>
      </c>
    </row>
    <row r="13" spans="1:8" ht="15.75">
      <c r="A13" s="4">
        <v>11</v>
      </c>
      <c r="B13" s="6" t="s">
        <v>47</v>
      </c>
      <c r="C13" s="6" t="str">
        <f>"2020020124"</f>
        <v>2020020124</v>
      </c>
      <c r="D13" s="1">
        <v>78.9</v>
      </c>
      <c r="E13" s="2">
        <v>75.5</v>
      </c>
      <c r="F13" s="3">
        <f t="shared" si="2"/>
        <v>154.4</v>
      </c>
      <c r="G13" s="8" t="s">
        <v>232</v>
      </c>
      <c r="H13" s="16">
        <f>F13/2*0.6</f>
        <v>46.32</v>
      </c>
    </row>
    <row r="14" spans="1:8" ht="13.5">
      <c r="A14" s="4">
        <v>12</v>
      </c>
      <c r="B14" s="6" t="s">
        <v>25</v>
      </c>
      <c r="C14" s="6" t="str">
        <f>"2020012911"</f>
        <v>2020012911</v>
      </c>
      <c r="D14" s="1">
        <v>80.2</v>
      </c>
      <c r="E14" s="2">
        <v>75.5</v>
      </c>
      <c r="F14" s="3">
        <f t="shared" si="2"/>
        <v>155.7</v>
      </c>
      <c r="G14" s="1">
        <v>76.4</v>
      </c>
      <c r="H14" s="16">
        <f>F14*0.5*0.6+G14*0.4</f>
        <v>77.27</v>
      </c>
    </row>
    <row r="15" spans="1:8" ht="13.5">
      <c r="A15" s="4">
        <v>13</v>
      </c>
      <c r="B15" s="6" t="s">
        <v>25</v>
      </c>
      <c r="C15" s="6" t="str">
        <f>"2020020213"</f>
        <v>2020020213</v>
      </c>
      <c r="D15" s="1">
        <v>70.7</v>
      </c>
      <c r="E15" s="2">
        <v>83</v>
      </c>
      <c r="F15" s="3">
        <f t="shared" si="2"/>
        <v>153.7</v>
      </c>
      <c r="G15" s="9">
        <v>76.4</v>
      </c>
      <c r="H15" s="16">
        <f>F15*0.5*0.6+G15*0.4</f>
        <v>76.66999999999999</v>
      </c>
    </row>
    <row r="16" spans="1:8" ht="13.5">
      <c r="A16" s="4">
        <v>14</v>
      </c>
      <c r="B16" s="6" t="s">
        <v>25</v>
      </c>
      <c r="C16" s="6" t="str">
        <f>"2020033209"</f>
        <v>2020033209</v>
      </c>
      <c r="D16" s="1">
        <v>82</v>
      </c>
      <c r="E16" s="2">
        <v>68</v>
      </c>
      <c r="F16" s="3">
        <f t="shared" si="2"/>
        <v>150</v>
      </c>
      <c r="G16" s="1">
        <v>75</v>
      </c>
      <c r="H16" s="16">
        <f>F16*0.5*0.6+G16*0.4</f>
        <v>75</v>
      </c>
    </row>
    <row r="17" spans="1:8" ht="13.5">
      <c r="A17" s="4">
        <v>15</v>
      </c>
      <c r="B17" s="6" t="s">
        <v>25</v>
      </c>
      <c r="C17" s="6" t="str">
        <f>"2020033408"</f>
        <v>2020033408</v>
      </c>
      <c r="D17" s="1">
        <v>68.7</v>
      </c>
      <c r="E17" s="2">
        <v>82</v>
      </c>
      <c r="F17" s="3">
        <f t="shared" si="2"/>
        <v>150.7</v>
      </c>
      <c r="G17" s="1">
        <v>74.2</v>
      </c>
      <c r="H17" s="16">
        <f>F17*0.5*0.6+G17*0.4</f>
        <v>74.89</v>
      </c>
    </row>
    <row r="18" spans="1:8" ht="13.5">
      <c r="A18" s="4">
        <v>16</v>
      </c>
      <c r="B18" s="6" t="s">
        <v>25</v>
      </c>
      <c r="C18" s="6" t="str">
        <f>"2020041604"</f>
        <v>2020041604</v>
      </c>
      <c r="D18" s="1">
        <v>74.1</v>
      </c>
      <c r="E18" s="2">
        <v>76.5</v>
      </c>
      <c r="F18" s="3">
        <f t="shared" si="2"/>
        <v>150.6</v>
      </c>
      <c r="G18" s="1">
        <v>74</v>
      </c>
      <c r="H18" s="16">
        <f>F18*0.5*0.6+G18*0.4</f>
        <v>74.78</v>
      </c>
    </row>
    <row r="19" spans="1:8" ht="15.75">
      <c r="A19" s="4">
        <v>17</v>
      </c>
      <c r="B19" s="6" t="s">
        <v>25</v>
      </c>
      <c r="C19" s="6" t="str">
        <f>"2020024818"</f>
        <v>2020024818</v>
      </c>
      <c r="D19" s="1">
        <v>78.1</v>
      </c>
      <c r="E19" s="2">
        <v>76</v>
      </c>
      <c r="F19" s="3">
        <f t="shared" si="2"/>
        <v>154.1</v>
      </c>
      <c r="G19" s="10" t="s">
        <v>232</v>
      </c>
      <c r="H19" s="16">
        <f>F19/2*0.6</f>
        <v>46.23</v>
      </c>
    </row>
    <row r="20" spans="1:8" ht="13.5">
      <c r="A20" s="4">
        <v>18</v>
      </c>
      <c r="B20" s="6" t="s">
        <v>104</v>
      </c>
      <c r="C20" s="6" t="str">
        <f>"2020045904"</f>
        <v>2020045904</v>
      </c>
      <c r="D20" s="1">
        <v>74.2</v>
      </c>
      <c r="E20" s="2">
        <v>85</v>
      </c>
      <c r="F20" s="3">
        <f t="shared" si="2"/>
        <v>159.2</v>
      </c>
      <c r="G20" s="1">
        <v>74.6</v>
      </c>
      <c r="H20" s="16">
        <f>F20*0.5*0.6+G20*0.4</f>
        <v>77.6</v>
      </c>
    </row>
    <row r="21" spans="1:8" ht="13.5">
      <c r="A21" s="4">
        <v>19</v>
      </c>
      <c r="B21" s="6" t="s">
        <v>104</v>
      </c>
      <c r="C21" s="6" t="str">
        <f>"2020044611"</f>
        <v>2020044611</v>
      </c>
      <c r="D21" s="1">
        <v>68.9</v>
      </c>
      <c r="E21" s="2">
        <v>82</v>
      </c>
      <c r="F21" s="3">
        <f t="shared" si="2"/>
        <v>150.9</v>
      </c>
      <c r="G21" s="1">
        <v>73.4</v>
      </c>
      <c r="H21" s="16">
        <f>F21*0.5*0.6+G21*0.4</f>
        <v>74.63000000000001</v>
      </c>
    </row>
    <row r="22" spans="1:8" ht="13.5">
      <c r="A22" s="4">
        <v>20</v>
      </c>
      <c r="B22" s="6" t="s">
        <v>104</v>
      </c>
      <c r="C22" s="6" t="str">
        <f>"2020043530"</f>
        <v>2020043530</v>
      </c>
      <c r="D22" s="1">
        <v>69.6</v>
      </c>
      <c r="E22" s="2">
        <v>78</v>
      </c>
      <c r="F22" s="3">
        <f t="shared" si="2"/>
        <v>147.6</v>
      </c>
      <c r="G22" s="1">
        <v>70.6</v>
      </c>
      <c r="H22" s="16">
        <f>F22*0.5*0.6+G22*0.4</f>
        <v>72.52</v>
      </c>
    </row>
    <row r="23" spans="1:8" ht="15.75">
      <c r="A23" s="4">
        <v>21</v>
      </c>
      <c r="B23" s="6" t="s">
        <v>71</v>
      </c>
      <c r="C23" s="6" t="str">
        <f>"2020020809"</f>
        <v>2020020809</v>
      </c>
      <c r="D23" s="1">
        <v>76</v>
      </c>
      <c r="E23" s="2">
        <v>79.5</v>
      </c>
      <c r="F23" s="3">
        <f t="shared" si="2"/>
        <v>155.5</v>
      </c>
      <c r="G23" s="8" t="s">
        <v>232</v>
      </c>
      <c r="H23" s="16">
        <f>F23/2*0.6</f>
        <v>46.65</v>
      </c>
    </row>
    <row r="24" spans="1:8" ht="13.5">
      <c r="A24" s="4">
        <v>22</v>
      </c>
      <c r="B24" s="6" t="s">
        <v>28</v>
      </c>
      <c r="C24" s="6" t="str">
        <f>"2020044005"</f>
        <v>2020044005</v>
      </c>
      <c r="D24" s="1">
        <v>77.1</v>
      </c>
      <c r="E24" s="2">
        <v>84.5</v>
      </c>
      <c r="F24" s="3">
        <f t="shared" si="2"/>
        <v>161.6</v>
      </c>
      <c r="G24" s="1">
        <v>72.4</v>
      </c>
      <c r="H24" s="16">
        <f>F24*0.5*0.6+G24*0.4</f>
        <v>77.44</v>
      </c>
    </row>
    <row r="25" spans="1:8" ht="13.5">
      <c r="A25" s="4">
        <v>23</v>
      </c>
      <c r="B25" s="6" t="s">
        <v>28</v>
      </c>
      <c r="C25" s="6" t="str">
        <f>"2020031327"</f>
        <v>2020031327</v>
      </c>
      <c r="D25" s="1">
        <v>76.8</v>
      </c>
      <c r="E25" s="2">
        <v>75.5</v>
      </c>
      <c r="F25" s="3">
        <f t="shared" si="2"/>
        <v>152.3</v>
      </c>
      <c r="G25" s="9">
        <v>76.8</v>
      </c>
      <c r="H25" s="16">
        <f>F25*0.5*0.6+G25*0.4</f>
        <v>76.41</v>
      </c>
    </row>
    <row r="26" spans="1:8" ht="15.75">
      <c r="A26" s="4">
        <v>24</v>
      </c>
      <c r="B26" s="6" t="s">
        <v>28</v>
      </c>
      <c r="C26" s="6" t="str">
        <f>"2020032407"</f>
        <v>2020032407</v>
      </c>
      <c r="D26" s="1">
        <v>80.7</v>
      </c>
      <c r="E26" s="2">
        <v>74.5</v>
      </c>
      <c r="F26" s="3">
        <f t="shared" si="2"/>
        <v>155.2</v>
      </c>
      <c r="G26" s="10" t="s">
        <v>232</v>
      </c>
      <c r="H26" s="16">
        <f>F26/2*0.6</f>
        <v>46.559999999999995</v>
      </c>
    </row>
    <row r="27" spans="1:8" ht="13.5">
      <c r="A27" s="4">
        <v>25</v>
      </c>
      <c r="B27" s="6" t="s">
        <v>30</v>
      </c>
      <c r="C27" s="6" t="str">
        <f>"2020012016"</f>
        <v>2020012016</v>
      </c>
      <c r="D27" s="1">
        <v>81.5</v>
      </c>
      <c r="E27" s="2">
        <v>86</v>
      </c>
      <c r="F27" s="3">
        <f t="shared" si="2"/>
        <v>167.5</v>
      </c>
      <c r="G27" s="1">
        <v>75.2</v>
      </c>
      <c r="H27" s="16">
        <f>F27*0.5*0.6+G27*0.4</f>
        <v>80.33</v>
      </c>
    </row>
    <row r="28" spans="1:8" ht="13.5">
      <c r="A28" s="4">
        <v>26</v>
      </c>
      <c r="B28" s="6" t="s">
        <v>30</v>
      </c>
      <c r="C28" s="6" t="str">
        <f>"2020045207"</f>
        <v>2020045207</v>
      </c>
      <c r="D28" s="1">
        <v>70.4</v>
      </c>
      <c r="E28" s="2">
        <v>81.5</v>
      </c>
      <c r="F28" s="3">
        <f t="shared" si="2"/>
        <v>151.9</v>
      </c>
      <c r="G28" s="9">
        <v>75.8</v>
      </c>
      <c r="H28" s="16">
        <f>F28*0.5*0.6+G28*0.4</f>
        <v>75.89</v>
      </c>
    </row>
    <row r="29" spans="1:8" ht="15.75">
      <c r="A29" s="4">
        <v>27</v>
      </c>
      <c r="B29" s="6" t="s">
        <v>30</v>
      </c>
      <c r="C29" s="6" t="str">
        <f>"2020047305"</f>
        <v>2020047305</v>
      </c>
      <c r="D29" s="1">
        <v>75</v>
      </c>
      <c r="E29" s="2">
        <v>77.5</v>
      </c>
      <c r="F29" s="3">
        <f t="shared" si="2"/>
        <v>152.5</v>
      </c>
      <c r="G29" s="10" t="s">
        <v>232</v>
      </c>
      <c r="H29" s="16">
        <f>F29/2*0.6</f>
        <v>45.75</v>
      </c>
    </row>
    <row r="30" spans="1:16" ht="13.5">
      <c r="A30" s="4">
        <v>28</v>
      </c>
      <c r="B30" s="6" t="s">
        <v>69</v>
      </c>
      <c r="C30" s="6" t="str">
        <f>"2020021127"</f>
        <v>2020021127</v>
      </c>
      <c r="D30" s="1">
        <v>76.1</v>
      </c>
      <c r="E30" s="2">
        <v>80</v>
      </c>
      <c r="F30" s="3">
        <f t="shared" si="2"/>
        <v>156.1</v>
      </c>
      <c r="G30" s="1">
        <v>75.2</v>
      </c>
      <c r="H30" s="16">
        <f>F30*0.5*0.6+G30*0.4</f>
        <v>76.91</v>
      </c>
      <c r="J30" s="18"/>
      <c r="K30" s="18"/>
      <c r="L30" s="19"/>
      <c r="M30" s="20"/>
      <c r="N30" s="21"/>
      <c r="O30" s="19"/>
      <c r="P30" s="22"/>
    </row>
    <row r="31" spans="1:16" ht="13.5">
      <c r="A31" s="4">
        <v>29</v>
      </c>
      <c r="B31" s="6" t="s">
        <v>69</v>
      </c>
      <c r="C31" s="6">
        <v>2020033601</v>
      </c>
      <c r="D31" s="1">
        <v>73.7</v>
      </c>
      <c r="E31" s="2">
        <v>77.5</v>
      </c>
      <c r="F31" s="7">
        <v>151.2</v>
      </c>
      <c r="G31" s="1">
        <v>78.6</v>
      </c>
      <c r="H31" s="16">
        <f>F31*0.5*0.6+G31*0.4</f>
        <v>76.79999999999998</v>
      </c>
      <c r="J31" s="18"/>
      <c r="K31" s="18"/>
      <c r="L31" s="19"/>
      <c r="M31" s="20"/>
      <c r="N31" s="21"/>
      <c r="O31" s="19"/>
      <c r="P31" s="22"/>
    </row>
    <row r="32" spans="1:16" ht="13.5">
      <c r="A32" s="4">
        <v>30</v>
      </c>
      <c r="B32" s="6" t="s">
        <v>69</v>
      </c>
      <c r="C32" s="6" t="str">
        <f>"2020043311"</f>
        <v>2020043311</v>
      </c>
      <c r="D32" s="1">
        <v>78</v>
      </c>
      <c r="E32" s="2">
        <v>78</v>
      </c>
      <c r="F32" s="3">
        <f>D32+E32</f>
        <v>156</v>
      </c>
      <c r="G32" s="1">
        <v>74.2</v>
      </c>
      <c r="H32" s="16">
        <f>F32*0.5*0.6+G32*0.4</f>
        <v>76.48</v>
      </c>
      <c r="J32" s="18"/>
      <c r="K32" s="18"/>
      <c r="L32" s="19"/>
      <c r="M32" s="20"/>
      <c r="N32" s="21"/>
      <c r="O32" s="19"/>
      <c r="P32" s="22"/>
    </row>
    <row r="33" spans="1:16" ht="13.5">
      <c r="A33" s="4">
        <v>31</v>
      </c>
      <c r="B33" s="6" t="s">
        <v>69</v>
      </c>
      <c r="C33" s="6" t="str">
        <f>"2020013522"</f>
        <v>2020013522</v>
      </c>
      <c r="D33" s="1">
        <v>77.7</v>
      </c>
      <c r="E33" s="2">
        <v>76.5</v>
      </c>
      <c r="F33" s="3">
        <f>D33+E33</f>
        <v>154.2</v>
      </c>
      <c r="G33" s="1">
        <v>74.2</v>
      </c>
      <c r="H33" s="16">
        <f>F33*0.5*0.6+G33*0.4</f>
        <v>75.94</v>
      </c>
      <c r="J33" s="18"/>
      <c r="K33" s="23"/>
      <c r="L33" s="19"/>
      <c r="M33" s="20"/>
      <c r="N33" s="24"/>
      <c r="O33" s="19"/>
      <c r="P33" s="22"/>
    </row>
    <row r="34" spans="1:16" ht="13.5">
      <c r="A34" s="4">
        <v>32</v>
      </c>
      <c r="B34" s="6" t="s">
        <v>69</v>
      </c>
      <c r="C34" s="6">
        <v>2020011914</v>
      </c>
      <c r="D34" s="1">
        <v>68.4</v>
      </c>
      <c r="E34" s="2">
        <v>82</v>
      </c>
      <c r="F34" s="7">
        <v>150.4</v>
      </c>
      <c r="G34" s="9">
        <v>75.5</v>
      </c>
      <c r="H34" s="16">
        <f>F34*0.5*0.6+G34*0.4</f>
        <v>75.32</v>
      </c>
      <c r="J34" s="18"/>
      <c r="K34" s="23"/>
      <c r="L34" s="19"/>
      <c r="M34" s="20"/>
      <c r="N34" s="24"/>
      <c r="O34" s="19"/>
      <c r="P34" s="22"/>
    </row>
    <row r="35" spans="1:16" ht="15.75">
      <c r="A35" s="4">
        <v>33</v>
      </c>
      <c r="B35" s="6" t="s">
        <v>69</v>
      </c>
      <c r="C35" s="6">
        <v>2020030213</v>
      </c>
      <c r="D35" s="1">
        <v>73.1</v>
      </c>
      <c r="E35" s="2">
        <v>73.5</v>
      </c>
      <c r="F35" s="7">
        <v>146.6</v>
      </c>
      <c r="G35" s="10" t="s">
        <v>232</v>
      </c>
      <c r="H35" s="16">
        <v>43.98</v>
      </c>
      <c r="J35" s="18"/>
      <c r="K35" s="23"/>
      <c r="L35" s="19"/>
      <c r="M35" s="20"/>
      <c r="N35" s="24"/>
      <c r="O35" s="25"/>
      <c r="P35" s="22"/>
    </row>
    <row r="36" spans="1:8" ht="13.5">
      <c r="A36" s="4">
        <v>34</v>
      </c>
      <c r="B36" s="6" t="s">
        <v>98</v>
      </c>
      <c r="C36" s="6" t="str">
        <f>"2020041804"</f>
        <v>2020041804</v>
      </c>
      <c r="D36" s="1">
        <v>72.1</v>
      </c>
      <c r="E36" s="2">
        <v>80</v>
      </c>
      <c r="F36" s="3">
        <f aca="true" t="shared" si="3" ref="F36:F55">D36+E36</f>
        <v>152.1</v>
      </c>
      <c r="G36" s="1">
        <v>76.2</v>
      </c>
      <c r="H36" s="16">
        <f>F36*0.5*0.6+G36*0.4</f>
        <v>76.11</v>
      </c>
    </row>
    <row r="37" spans="1:8" ht="13.5">
      <c r="A37" s="4">
        <v>35</v>
      </c>
      <c r="B37" s="6" t="s">
        <v>98</v>
      </c>
      <c r="C37" s="6" t="str">
        <f>"2020042903"</f>
        <v>2020042903</v>
      </c>
      <c r="D37" s="1">
        <v>63.6</v>
      </c>
      <c r="E37" s="2">
        <v>83</v>
      </c>
      <c r="F37" s="3">
        <f t="shared" si="3"/>
        <v>146.6</v>
      </c>
      <c r="G37" s="1">
        <v>74.4</v>
      </c>
      <c r="H37" s="16">
        <f>F37*0.5*0.6+G37*0.4</f>
        <v>73.74000000000001</v>
      </c>
    </row>
    <row r="38" spans="1:8" ht="15.75">
      <c r="A38" s="4">
        <v>36</v>
      </c>
      <c r="B38" s="6" t="s">
        <v>98</v>
      </c>
      <c r="C38" s="6" t="str">
        <f>"2020044323"</f>
        <v>2020044323</v>
      </c>
      <c r="D38" s="1">
        <v>72.5</v>
      </c>
      <c r="E38" s="2">
        <v>73.5</v>
      </c>
      <c r="F38" s="3">
        <f t="shared" si="3"/>
        <v>146</v>
      </c>
      <c r="G38" s="8" t="s">
        <v>232</v>
      </c>
      <c r="H38" s="16">
        <f>F38/2*0.6</f>
        <v>43.8</v>
      </c>
    </row>
    <row r="39" spans="1:8" ht="13.5">
      <c r="A39" s="4">
        <v>37</v>
      </c>
      <c r="B39" s="6" t="s">
        <v>11</v>
      </c>
      <c r="C39" s="6" t="str">
        <f>"2020023320"</f>
        <v>2020023320</v>
      </c>
      <c r="D39" s="1">
        <v>80.6</v>
      </c>
      <c r="E39" s="2">
        <v>89</v>
      </c>
      <c r="F39" s="3">
        <f t="shared" si="3"/>
        <v>169.6</v>
      </c>
      <c r="G39" s="1">
        <v>77.4</v>
      </c>
      <c r="H39" s="16">
        <f aca="true" t="shared" si="4" ref="H39:H47">F39*0.5*0.6+G39*0.4</f>
        <v>81.84</v>
      </c>
    </row>
    <row r="40" spans="1:8" ht="13.5">
      <c r="A40" s="4">
        <v>38</v>
      </c>
      <c r="B40" s="6" t="s">
        <v>11</v>
      </c>
      <c r="C40" s="6" t="str">
        <f>"2020010606"</f>
        <v>2020010606</v>
      </c>
      <c r="D40" s="1">
        <v>77.3</v>
      </c>
      <c r="E40" s="2">
        <v>88</v>
      </c>
      <c r="F40" s="3">
        <f t="shared" si="3"/>
        <v>165.3</v>
      </c>
      <c r="G40" s="1">
        <v>73.8</v>
      </c>
      <c r="H40" s="16">
        <f t="shared" si="4"/>
        <v>79.11</v>
      </c>
    </row>
    <row r="41" spans="1:8" ht="13.5">
      <c r="A41" s="4">
        <v>39</v>
      </c>
      <c r="B41" s="6" t="s">
        <v>20</v>
      </c>
      <c r="C41" s="6" t="str">
        <f>"2020031102"</f>
        <v>2020031102</v>
      </c>
      <c r="D41" s="1">
        <v>70.8</v>
      </c>
      <c r="E41" s="2">
        <v>77.5</v>
      </c>
      <c r="F41" s="3">
        <f t="shared" si="3"/>
        <v>148.3</v>
      </c>
      <c r="G41" s="1">
        <v>75.3</v>
      </c>
      <c r="H41" s="16">
        <f t="shared" si="4"/>
        <v>74.61</v>
      </c>
    </row>
    <row r="42" spans="1:8" ht="13.5">
      <c r="A42" s="4">
        <v>40</v>
      </c>
      <c r="B42" s="6" t="s">
        <v>20</v>
      </c>
      <c r="C42" s="6" t="str">
        <f>"2020042909"</f>
        <v>2020042909</v>
      </c>
      <c r="D42" s="1">
        <v>76.7</v>
      </c>
      <c r="E42" s="2">
        <v>76.5</v>
      </c>
      <c r="F42" s="3">
        <f t="shared" si="3"/>
        <v>153.2</v>
      </c>
      <c r="G42" s="1">
        <v>70.2</v>
      </c>
      <c r="H42" s="16">
        <f t="shared" si="4"/>
        <v>74.03999999999999</v>
      </c>
    </row>
    <row r="43" spans="1:8" ht="13.5">
      <c r="A43" s="4">
        <v>41</v>
      </c>
      <c r="B43" s="6" t="s">
        <v>20</v>
      </c>
      <c r="C43" s="6" t="str">
        <f>"2020023003"</f>
        <v>2020023003</v>
      </c>
      <c r="D43" s="1">
        <v>75.6</v>
      </c>
      <c r="E43" s="2">
        <v>73.5</v>
      </c>
      <c r="F43" s="3">
        <f t="shared" si="3"/>
        <v>149.1</v>
      </c>
      <c r="G43" s="1">
        <v>70.2</v>
      </c>
      <c r="H43" s="16">
        <f t="shared" si="4"/>
        <v>72.81</v>
      </c>
    </row>
    <row r="44" spans="1:8" ht="13.5">
      <c r="A44" s="4">
        <v>42</v>
      </c>
      <c r="B44" s="6" t="s">
        <v>68</v>
      </c>
      <c r="C44" s="6" t="str">
        <f>"2020045524"</f>
        <v>2020045524</v>
      </c>
      <c r="D44" s="1">
        <v>77.1</v>
      </c>
      <c r="E44" s="2">
        <v>75</v>
      </c>
      <c r="F44" s="3">
        <f t="shared" si="3"/>
        <v>152.1</v>
      </c>
      <c r="G44" s="1">
        <v>77.5</v>
      </c>
      <c r="H44" s="16">
        <f t="shared" si="4"/>
        <v>76.63</v>
      </c>
    </row>
    <row r="45" spans="1:8" ht="13.5">
      <c r="A45" s="4">
        <v>43</v>
      </c>
      <c r="B45" s="6" t="s">
        <v>68</v>
      </c>
      <c r="C45" s="6" t="str">
        <f>"2020031126"</f>
        <v>2020031126</v>
      </c>
      <c r="D45" s="1">
        <v>74.5</v>
      </c>
      <c r="E45" s="2">
        <v>81</v>
      </c>
      <c r="F45" s="3">
        <f t="shared" si="3"/>
        <v>155.5</v>
      </c>
      <c r="G45" s="1">
        <v>74.1</v>
      </c>
      <c r="H45" s="16">
        <f t="shared" si="4"/>
        <v>76.28999999999999</v>
      </c>
    </row>
    <row r="46" spans="1:8" ht="13.5">
      <c r="A46" s="4">
        <v>44</v>
      </c>
      <c r="B46" s="6" t="s">
        <v>68</v>
      </c>
      <c r="C46" s="6" t="str">
        <f>"2020045703"</f>
        <v>2020045703</v>
      </c>
      <c r="D46" s="1">
        <v>73.8</v>
      </c>
      <c r="E46" s="2">
        <v>77.5</v>
      </c>
      <c r="F46" s="3">
        <f t="shared" si="3"/>
        <v>151.3</v>
      </c>
      <c r="G46" s="1">
        <v>73.7</v>
      </c>
      <c r="H46" s="16">
        <f t="shared" si="4"/>
        <v>74.87</v>
      </c>
    </row>
    <row r="47" spans="1:8" ht="13.5">
      <c r="A47" s="4">
        <v>45</v>
      </c>
      <c r="B47" s="6" t="s">
        <v>112</v>
      </c>
      <c r="C47" s="6" t="str">
        <f>"2020032001"</f>
        <v>2020032001</v>
      </c>
      <c r="D47" s="1">
        <v>68.7</v>
      </c>
      <c r="E47" s="2">
        <v>76.5</v>
      </c>
      <c r="F47" s="3">
        <f t="shared" si="3"/>
        <v>145.2</v>
      </c>
      <c r="G47" s="1">
        <v>79.9</v>
      </c>
      <c r="H47" s="16">
        <f t="shared" si="4"/>
        <v>75.52</v>
      </c>
    </row>
    <row r="48" spans="1:8" ht="15.75">
      <c r="A48" s="4">
        <v>46</v>
      </c>
      <c r="B48" s="6" t="s">
        <v>112</v>
      </c>
      <c r="C48" s="6" t="str">
        <f>"2020032508"</f>
        <v>2020032508</v>
      </c>
      <c r="D48" s="1">
        <v>71.9</v>
      </c>
      <c r="E48" s="2">
        <v>70.5</v>
      </c>
      <c r="F48" s="3">
        <f t="shared" si="3"/>
        <v>142.4</v>
      </c>
      <c r="G48" s="8" t="s">
        <v>232</v>
      </c>
      <c r="H48" s="16">
        <f>F48/2*0.6</f>
        <v>42.72</v>
      </c>
    </row>
    <row r="49" spans="1:8" ht="13.5">
      <c r="A49" s="4">
        <v>47</v>
      </c>
      <c r="B49" s="6" t="s">
        <v>84</v>
      </c>
      <c r="C49" s="6" t="str">
        <f>"2020032908"</f>
        <v>2020032908</v>
      </c>
      <c r="D49" s="1">
        <v>74.9</v>
      </c>
      <c r="E49" s="2">
        <v>85.5</v>
      </c>
      <c r="F49" s="3">
        <f t="shared" si="3"/>
        <v>160.4</v>
      </c>
      <c r="G49" s="1">
        <v>76.7</v>
      </c>
      <c r="H49" s="16">
        <f aca="true" t="shared" si="5" ref="H49:H58">F49*0.5*0.6+G49*0.4</f>
        <v>78.8</v>
      </c>
    </row>
    <row r="50" spans="1:8" ht="13.5">
      <c r="A50" s="4">
        <v>48</v>
      </c>
      <c r="B50" s="6" t="s">
        <v>84</v>
      </c>
      <c r="C50" s="6" t="str">
        <f>"2020030425"</f>
        <v>2020030425</v>
      </c>
      <c r="D50" s="1">
        <v>83.3</v>
      </c>
      <c r="E50" s="2">
        <v>78.5</v>
      </c>
      <c r="F50" s="3">
        <f t="shared" si="3"/>
        <v>161.8</v>
      </c>
      <c r="G50" s="1">
        <v>74.8</v>
      </c>
      <c r="H50" s="16">
        <f t="shared" si="5"/>
        <v>78.46000000000001</v>
      </c>
    </row>
    <row r="51" spans="1:8" ht="13.5">
      <c r="A51" s="4">
        <v>49</v>
      </c>
      <c r="B51" s="6" t="s">
        <v>84</v>
      </c>
      <c r="C51" s="6" t="str">
        <f>"2020044316"</f>
        <v>2020044316</v>
      </c>
      <c r="D51" s="1">
        <v>74.5</v>
      </c>
      <c r="E51" s="2">
        <v>84</v>
      </c>
      <c r="F51" s="3">
        <f t="shared" si="3"/>
        <v>158.5</v>
      </c>
      <c r="G51" s="1">
        <v>76.7</v>
      </c>
      <c r="H51" s="16">
        <f t="shared" si="5"/>
        <v>78.23</v>
      </c>
    </row>
    <row r="52" spans="1:8" ht="13.5">
      <c r="A52" s="4">
        <v>50</v>
      </c>
      <c r="B52" s="6" t="s">
        <v>84</v>
      </c>
      <c r="C52" s="6" t="str">
        <f>"2020024201"</f>
        <v>2020024201</v>
      </c>
      <c r="D52" s="1">
        <v>72.2</v>
      </c>
      <c r="E52" s="2">
        <v>85.5</v>
      </c>
      <c r="F52" s="3">
        <f t="shared" si="3"/>
        <v>157.7</v>
      </c>
      <c r="G52" s="1">
        <v>73.6</v>
      </c>
      <c r="H52" s="16">
        <f t="shared" si="5"/>
        <v>76.75</v>
      </c>
    </row>
    <row r="53" spans="1:8" ht="13.5">
      <c r="A53" s="4">
        <v>51</v>
      </c>
      <c r="B53" s="6" t="s">
        <v>84</v>
      </c>
      <c r="C53" s="6" t="str">
        <f>"2020032602"</f>
        <v>2020032602</v>
      </c>
      <c r="D53" s="1">
        <v>74.2</v>
      </c>
      <c r="E53" s="2">
        <v>76.5</v>
      </c>
      <c r="F53" s="3">
        <f t="shared" si="3"/>
        <v>150.7</v>
      </c>
      <c r="G53" s="1">
        <v>74</v>
      </c>
      <c r="H53" s="16">
        <f t="shared" si="5"/>
        <v>74.81</v>
      </c>
    </row>
    <row r="54" spans="1:8" ht="13.5">
      <c r="A54" s="4">
        <v>52</v>
      </c>
      <c r="B54" s="6" t="s">
        <v>135</v>
      </c>
      <c r="C54" s="6" t="str">
        <f>"2020046922"</f>
        <v>2020046922</v>
      </c>
      <c r="D54" s="1">
        <v>69.1</v>
      </c>
      <c r="E54" s="2">
        <v>77.5</v>
      </c>
      <c r="F54" s="3">
        <f t="shared" si="3"/>
        <v>146.6</v>
      </c>
      <c r="G54" s="1">
        <v>80</v>
      </c>
      <c r="H54" s="16">
        <f t="shared" si="5"/>
        <v>75.97999999999999</v>
      </c>
    </row>
    <row r="55" spans="1:8" ht="13.5">
      <c r="A55" s="4">
        <v>53</v>
      </c>
      <c r="B55" s="6" t="s">
        <v>135</v>
      </c>
      <c r="C55" s="6" t="str">
        <f>"2020023010"</f>
        <v>2020023010</v>
      </c>
      <c r="D55" s="1">
        <v>75.7</v>
      </c>
      <c r="E55" s="2">
        <v>74.5</v>
      </c>
      <c r="F55" s="3">
        <f t="shared" si="3"/>
        <v>150.2</v>
      </c>
      <c r="G55" s="1">
        <v>74.8</v>
      </c>
      <c r="H55" s="16">
        <f t="shared" si="5"/>
        <v>74.97999999999999</v>
      </c>
    </row>
    <row r="56" spans="1:8" ht="13.5">
      <c r="A56" s="4">
        <v>54</v>
      </c>
      <c r="B56" s="6" t="s">
        <v>135</v>
      </c>
      <c r="C56" s="6" t="s">
        <v>174</v>
      </c>
      <c r="D56" s="1">
        <v>67.1</v>
      </c>
      <c r="E56" s="2">
        <v>78.5</v>
      </c>
      <c r="F56" s="7">
        <v>145.6</v>
      </c>
      <c r="G56" s="1">
        <v>72.6</v>
      </c>
      <c r="H56" s="16">
        <f t="shared" si="5"/>
        <v>72.72</v>
      </c>
    </row>
    <row r="57" spans="1:8" ht="13.5">
      <c r="A57" s="4">
        <v>55</v>
      </c>
      <c r="B57" s="6" t="s">
        <v>44</v>
      </c>
      <c r="C57" s="6" t="str">
        <f>"2020022711"</f>
        <v>2020022711</v>
      </c>
      <c r="D57" s="1">
        <v>74.3</v>
      </c>
      <c r="E57" s="2">
        <v>67.5</v>
      </c>
      <c r="F57" s="3">
        <f>D57+E57</f>
        <v>141.8</v>
      </c>
      <c r="G57" s="1">
        <v>78.2</v>
      </c>
      <c r="H57" s="16">
        <f t="shared" si="5"/>
        <v>73.82</v>
      </c>
    </row>
    <row r="58" spans="1:8" ht="13.5">
      <c r="A58" s="4">
        <v>56</v>
      </c>
      <c r="B58" s="6" t="s">
        <v>44</v>
      </c>
      <c r="C58" s="6" t="str">
        <f>"2020044120"</f>
        <v>2020044120</v>
      </c>
      <c r="D58" s="1">
        <v>68.9</v>
      </c>
      <c r="E58" s="2">
        <v>69.5</v>
      </c>
      <c r="F58" s="3">
        <f>D58+E58</f>
        <v>138.4</v>
      </c>
      <c r="G58" s="9">
        <v>75.3</v>
      </c>
      <c r="H58" s="16">
        <f t="shared" si="5"/>
        <v>71.64</v>
      </c>
    </row>
    <row r="59" spans="1:8" ht="15.75">
      <c r="A59" s="4">
        <v>57</v>
      </c>
      <c r="B59" s="6" t="s">
        <v>44</v>
      </c>
      <c r="C59" s="6" t="str">
        <f>"2020011516"</f>
        <v>2020011516</v>
      </c>
      <c r="D59" s="1">
        <v>69.6</v>
      </c>
      <c r="E59" s="2">
        <v>71</v>
      </c>
      <c r="F59" s="3">
        <f>D59+E59</f>
        <v>140.6</v>
      </c>
      <c r="G59" s="10" t="s">
        <v>232</v>
      </c>
      <c r="H59" s="16">
        <f>F59/2*0.6</f>
        <v>42.18</v>
      </c>
    </row>
    <row r="60" spans="1:8" ht="13.5">
      <c r="A60" s="4">
        <v>58</v>
      </c>
      <c r="B60" s="6" t="s">
        <v>66</v>
      </c>
      <c r="C60" s="6" t="str">
        <f>"2020022308"</f>
        <v>2020022308</v>
      </c>
      <c r="D60" s="1">
        <v>76.6</v>
      </c>
      <c r="E60" s="2">
        <v>82</v>
      </c>
      <c r="F60" s="3">
        <f>D60+E60</f>
        <v>158.6</v>
      </c>
      <c r="G60" s="1">
        <v>73.5</v>
      </c>
      <c r="H60" s="16">
        <f aca="true" t="shared" si="6" ref="H60:H67">F60*0.5*0.6+G60*0.4</f>
        <v>76.98</v>
      </c>
    </row>
    <row r="61" spans="1:8" ht="13.5">
      <c r="A61" s="4">
        <v>59</v>
      </c>
      <c r="B61" s="6" t="s">
        <v>66</v>
      </c>
      <c r="C61" s="6" t="str">
        <f>"2020010530"</f>
        <v>2020010530</v>
      </c>
      <c r="D61" s="1">
        <v>78.9</v>
      </c>
      <c r="E61" s="2">
        <v>78.5</v>
      </c>
      <c r="F61" s="3">
        <f>D61+E61</f>
        <v>157.4</v>
      </c>
      <c r="G61" s="1">
        <v>73</v>
      </c>
      <c r="H61" s="16">
        <f t="shared" si="6"/>
        <v>76.42</v>
      </c>
    </row>
    <row r="62" spans="1:8" ht="13.5">
      <c r="A62" s="4">
        <v>60</v>
      </c>
      <c r="B62" s="6" t="s">
        <v>66</v>
      </c>
      <c r="C62" s="6" t="s">
        <v>175</v>
      </c>
      <c r="D62" s="1">
        <v>78.5</v>
      </c>
      <c r="E62" s="2">
        <v>77.5</v>
      </c>
      <c r="F62" s="7">
        <v>156</v>
      </c>
      <c r="G62" s="1">
        <v>69.8</v>
      </c>
      <c r="H62" s="16">
        <f t="shared" si="6"/>
        <v>74.72</v>
      </c>
    </row>
    <row r="63" spans="1:8" ht="13.5">
      <c r="A63" s="4">
        <v>61</v>
      </c>
      <c r="B63" s="6" t="s">
        <v>27</v>
      </c>
      <c r="C63" s="6" t="str">
        <f>"2020047204"</f>
        <v>2020047204</v>
      </c>
      <c r="D63" s="1">
        <v>82.7</v>
      </c>
      <c r="E63" s="2">
        <v>79</v>
      </c>
      <c r="F63" s="3">
        <f>D63+E63</f>
        <v>161.7</v>
      </c>
      <c r="G63" s="1">
        <v>75.9</v>
      </c>
      <c r="H63" s="16">
        <f t="shared" si="6"/>
        <v>78.87</v>
      </c>
    </row>
    <row r="64" spans="1:8" ht="13.5">
      <c r="A64" s="4">
        <v>62</v>
      </c>
      <c r="B64" s="6" t="s">
        <v>27</v>
      </c>
      <c r="C64" s="6" t="str">
        <f>"2020011926"</f>
        <v>2020011926</v>
      </c>
      <c r="D64" s="1">
        <v>70.1</v>
      </c>
      <c r="E64" s="2">
        <v>89.5</v>
      </c>
      <c r="F64" s="3">
        <f>D64+E64</f>
        <v>159.6</v>
      </c>
      <c r="G64" s="1">
        <v>70.2</v>
      </c>
      <c r="H64" s="16">
        <f t="shared" si="6"/>
        <v>75.96</v>
      </c>
    </row>
    <row r="65" spans="1:8" ht="13.5">
      <c r="A65" s="4">
        <v>63</v>
      </c>
      <c r="B65" s="6" t="s">
        <v>27</v>
      </c>
      <c r="C65" s="6" t="str">
        <f>"2020041126"</f>
        <v>2020041126</v>
      </c>
      <c r="D65" s="1">
        <v>68.3</v>
      </c>
      <c r="E65" s="2">
        <v>88.5</v>
      </c>
      <c r="F65" s="3">
        <f>D65+E65</f>
        <v>156.8</v>
      </c>
      <c r="G65" s="1">
        <v>70.6</v>
      </c>
      <c r="H65" s="16">
        <f t="shared" si="6"/>
        <v>75.28</v>
      </c>
    </row>
    <row r="66" spans="1:8" ht="13.5">
      <c r="A66" s="4">
        <v>64</v>
      </c>
      <c r="B66" s="6" t="s">
        <v>120</v>
      </c>
      <c r="C66" s="6" t="str">
        <f>"2020031024"</f>
        <v>2020031024</v>
      </c>
      <c r="D66" s="1">
        <v>80.2</v>
      </c>
      <c r="E66" s="2">
        <v>79</v>
      </c>
      <c r="F66" s="3">
        <f>D66+E66</f>
        <v>159.2</v>
      </c>
      <c r="G66" s="1">
        <v>77.3</v>
      </c>
      <c r="H66" s="16">
        <f t="shared" si="6"/>
        <v>78.68</v>
      </c>
    </row>
    <row r="67" spans="1:8" ht="13.5">
      <c r="A67" s="4">
        <v>65</v>
      </c>
      <c r="B67" s="6" t="s">
        <v>120</v>
      </c>
      <c r="C67" s="6" t="str">
        <f>"2020040529"</f>
        <v>2020040529</v>
      </c>
      <c r="D67" s="1">
        <v>81.9</v>
      </c>
      <c r="E67" s="2">
        <v>76.5</v>
      </c>
      <c r="F67" s="3">
        <f>D67+E67</f>
        <v>158.4</v>
      </c>
      <c r="G67" s="1">
        <v>72.6</v>
      </c>
      <c r="H67" s="16">
        <f t="shared" si="6"/>
        <v>76.56</v>
      </c>
    </row>
    <row r="68" spans="1:8" ht="15.75">
      <c r="A68" s="4">
        <v>66</v>
      </c>
      <c r="B68" s="6" t="s">
        <v>120</v>
      </c>
      <c r="C68" s="6" t="s">
        <v>176</v>
      </c>
      <c r="D68" s="1">
        <v>74.9</v>
      </c>
      <c r="E68" s="2">
        <v>76</v>
      </c>
      <c r="F68" s="7">
        <v>150.9</v>
      </c>
      <c r="G68" s="8" t="s">
        <v>232</v>
      </c>
      <c r="H68" s="16">
        <f>F68/2*0.6</f>
        <v>45.27</v>
      </c>
    </row>
    <row r="69" spans="1:8" ht="13.5">
      <c r="A69" s="4">
        <v>67</v>
      </c>
      <c r="B69" s="6" t="s">
        <v>93</v>
      </c>
      <c r="C69" s="6" t="str">
        <f>"2020046029"</f>
        <v>2020046029</v>
      </c>
      <c r="D69" s="1">
        <v>74.7</v>
      </c>
      <c r="E69" s="2">
        <v>85</v>
      </c>
      <c r="F69" s="3">
        <f aca="true" t="shared" si="7" ref="F69:F74">D69+E69</f>
        <v>159.7</v>
      </c>
      <c r="G69" s="1">
        <v>74.4</v>
      </c>
      <c r="H69" s="16">
        <f aca="true" t="shared" si="8" ref="H69:H91">F69*0.5*0.6+G69*0.4</f>
        <v>77.67</v>
      </c>
    </row>
    <row r="70" spans="1:8" ht="13.5">
      <c r="A70" s="4">
        <v>68</v>
      </c>
      <c r="B70" s="6" t="s">
        <v>93</v>
      </c>
      <c r="C70" s="6" t="str">
        <f>"2020045407"</f>
        <v>2020045407</v>
      </c>
      <c r="D70" s="1">
        <v>76.3</v>
      </c>
      <c r="E70" s="2">
        <v>77</v>
      </c>
      <c r="F70" s="3">
        <f t="shared" si="7"/>
        <v>153.3</v>
      </c>
      <c r="G70" s="1">
        <v>75</v>
      </c>
      <c r="H70" s="16">
        <f t="shared" si="8"/>
        <v>75.99000000000001</v>
      </c>
    </row>
    <row r="71" spans="1:8" ht="13.5">
      <c r="A71" s="4">
        <v>69</v>
      </c>
      <c r="B71" s="6" t="s">
        <v>93</v>
      </c>
      <c r="C71" s="6" t="str">
        <f>"2020033609"</f>
        <v>2020033609</v>
      </c>
      <c r="D71" s="1">
        <v>78.7</v>
      </c>
      <c r="E71" s="2">
        <v>70.5</v>
      </c>
      <c r="F71" s="3">
        <f t="shared" si="7"/>
        <v>149.2</v>
      </c>
      <c r="G71" s="1">
        <v>74.2</v>
      </c>
      <c r="H71" s="16">
        <f t="shared" si="8"/>
        <v>74.44</v>
      </c>
    </row>
    <row r="72" spans="1:8" ht="13.5">
      <c r="A72" s="4">
        <v>70</v>
      </c>
      <c r="B72" s="6" t="s">
        <v>93</v>
      </c>
      <c r="C72" s="6" t="str">
        <f>"2020047225"</f>
        <v>2020047225</v>
      </c>
      <c r="D72" s="1">
        <v>73.5</v>
      </c>
      <c r="E72" s="2">
        <v>85</v>
      </c>
      <c r="F72" s="3">
        <f t="shared" si="7"/>
        <v>158.5</v>
      </c>
      <c r="G72" s="1">
        <v>61.4</v>
      </c>
      <c r="H72" s="16">
        <f t="shared" si="8"/>
        <v>72.11</v>
      </c>
    </row>
    <row r="73" spans="1:8" ht="13.5">
      <c r="A73" s="4">
        <v>71</v>
      </c>
      <c r="B73" s="6" t="s">
        <v>93</v>
      </c>
      <c r="C73" s="6" t="str">
        <f>"2020024004"</f>
        <v>2020024004</v>
      </c>
      <c r="D73" s="1">
        <v>77.9</v>
      </c>
      <c r="E73" s="2">
        <v>75</v>
      </c>
      <c r="F73" s="3">
        <f t="shared" si="7"/>
        <v>152.9</v>
      </c>
      <c r="G73" s="1">
        <v>64.6</v>
      </c>
      <c r="H73" s="16">
        <f t="shared" si="8"/>
        <v>71.71</v>
      </c>
    </row>
    <row r="74" spans="1:8" ht="13.5">
      <c r="A74" s="4">
        <v>72</v>
      </c>
      <c r="B74" s="6" t="s">
        <v>125</v>
      </c>
      <c r="C74" s="6" t="str">
        <f>"2020041929"</f>
        <v>2020041929</v>
      </c>
      <c r="D74" s="1">
        <v>70.1</v>
      </c>
      <c r="E74" s="2">
        <v>79.5</v>
      </c>
      <c r="F74" s="3">
        <f t="shared" si="7"/>
        <v>149.6</v>
      </c>
      <c r="G74" s="1">
        <v>76.6</v>
      </c>
      <c r="H74" s="16">
        <f t="shared" si="8"/>
        <v>75.52</v>
      </c>
    </row>
    <row r="75" spans="1:8" ht="13.5">
      <c r="A75" s="4">
        <v>73</v>
      </c>
      <c r="B75" s="6" t="s">
        <v>125</v>
      </c>
      <c r="C75" s="6" t="s">
        <v>177</v>
      </c>
      <c r="D75" s="1">
        <v>70.6</v>
      </c>
      <c r="E75" s="2">
        <v>73</v>
      </c>
      <c r="F75" s="7">
        <v>143.6</v>
      </c>
      <c r="G75" s="1">
        <v>65.6</v>
      </c>
      <c r="H75" s="16">
        <f t="shared" si="8"/>
        <v>69.32</v>
      </c>
    </row>
    <row r="76" spans="1:8" ht="13.5">
      <c r="A76" s="4">
        <v>74</v>
      </c>
      <c r="B76" s="6" t="s">
        <v>119</v>
      </c>
      <c r="C76" s="6" t="str">
        <f>"2020022922"</f>
        <v>2020022922</v>
      </c>
      <c r="D76" s="1">
        <v>68.6</v>
      </c>
      <c r="E76" s="2">
        <v>72.5</v>
      </c>
      <c r="F76" s="3">
        <f>D76+E76</f>
        <v>141.1</v>
      </c>
      <c r="G76" s="1">
        <v>76</v>
      </c>
      <c r="H76" s="16">
        <f t="shared" si="8"/>
        <v>72.73</v>
      </c>
    </row>
    <row r="77" spans="1:8" ht="13.5">
      <c r="A77" s="4">
        <v>75</v>
      </c>
      <c r="B77" s="6" t="s">
        <v>119</v>
      </c>
      <c r="C77" s="6" t="str">
        <f>"2020021623"</f>
        <v>2020021623</v>
      </c>
      <c r="D77" s="1">
        <v>66.9</v>
      </c>
      <c r="E77" s="2">
        <v>70.5</v>
      </c>
      <c r="F77" s="3">
        <f>D77+E77</f>
        <v>137.4</v>
      </c>
      <c r="G77" s="1">
        <v>67.8</v>
      </c>
      <c r="H77" s="16">
        <f t="shared" si="8"/>
        <v>68.34</v>
      </c>
    </row>
    <row r="78" spans="1:8" ht="13.5">
      <c r="A78" s="4">
        <v>76</v>
      </c>
      <c r="B78" s="6" t="s">
        <v>116</v>
      </c>
      <c r="C78" s="6" t="str">
        <f>"2020034024"</f>
        <v>2020034024</v>
      </c>
      <c r="D78" s="1">
        <v>76</v>
      </c>
      <c r="E78" s="2">
        <v>86.5</v>
      </c>
      <c r="F78" s="3">
        <f>D78+E78</f>
        <v>162.5</v>
      </c>
      <c r="G78" s="1">
        <v>81.7</v>
      </c>
      <c r="H78" s="16">
        <f t="shared" si="8"/>
        <v>81.43</v>
      </c>
    </row>
    <row r="79" spans="1:8" ht="13.5">
      <c r="A79" s="4">
        <v>77</v>
      </c>
      <c r="B79" s="6" t="s">
        <v>116</v>
      </c>
      <c r="C79" s="6" t="str">
        <f>"2020030115"</f>
        <v>2020030115</v>
      </c>
      <c r="D79" s="1">
        <v>74.2</v>
      </c>
      <c r="E79" s="2">
        <v>85</v>
      </c>
      <c r="F79" s="3">
        <f>D79+E79</f>
        <v>159.2</v>
      </c>
      <c r="G79" s="1">
        <v>73.3</v>
      </c>
      <c r="H79" s="16">
        <f t="shared" si="8"/>
        <v>77.08</v>
      </c>
    </row>
    <row r="80" spans="1:8" ht="13.5">
      <c r="A80" s="4">
        <v>78</v>
      </c>
      <c r="B80" s="6" t="s">
        <v>116</v>
      </c>
      <c r="C80" s="6" t="s">
        <v>178</v>
      </c>
      <c r="D80" s="1">
        <v>67.1</v>
      </c>
      <c r="E80" s="2">
        <v>78.5</v>
      </c>
      <c r="F80" s="7">
        <v>145.6</v>
      </c>
      <c r="G80" s="1">
        <v>82</v>
      </c>
      <c r="H80" s="16">
        <f t="shared" si="8"/>
        <v>76.48</v>
      </c>
    </row>
    <row r="81" spans="1:8" ht="13.5">
      <c r="A81" s="4">
        <v>79</v>
      </c>
      <c r="B81" s="6" t="s">
        <v>87</v>
      </c>
      <c r="C81" s="6" t="str">
        <f>"2020041013"</f>
        <v>2020041013</v>
      </c>
      <c r="D81" s="1">
        <v>66.6</v>
      </c>
      <c r="E81" s="2">
        <v>72.5</v>
      </c>
      <c r="F81" s="3">
        <f>D81+E81</f>
        <v>139.1</v>
      </c>
      <c r="G81" s="1">
        <v>72.9</v>
      </c>
      <c r="H81" s="16">
        <f t="shared" si="8"/>
        <v>70.89</v>
      </c>
    </row>
    <row r="82" spans="1:8" ht="13.5">
      <c r="A82" s="4">
        <v>80</v>
      </c>
      <c r="B82" s="6" t="s">
        <v>87</v>
      </c>
      <c r="C82" s="6" t="str">
        <f>"2020046920"</f>
        <v>2020046920</v>
      </c>
      <c r="D82" s="1">
        <v>66.6</v>
      </c>
      <c r="E82" s="2">
        <v>62</v>
      </c>
      <c r="F82" s="3">
        <f>D82+E82</f>
        <v>128.6</v>
      </c>
      <c r="G82" s="1">
        <v>74</v>
      </c>
      <c r="H82" s="16">
        <f t="shared" si="8"/>
        <v>68.18</v>
      </c>
    </row>
    <row r="83" spans="1:8" ht="13.5">
      <c r="A83" s="4">
        <v>81</v>
      </c>
      <c r="B83" s="6" t="s">
        <v>87</v>
      </c>
      <c r="C83" s="6" t="s">
        <v>179</v>
      </c>
      <c r="D83" s="1">
        <v>64.4</v>
      </c>
      <c r="E83" s="2">
        <v>59</v>
      </c>
      <c r="F83" s="7">
        <v>123.4</v>
      </c>
      <c r="G83" s="1">
        <v>75</v>
      </c>
      <c r="H83" s="16">
        <f t="shared" si="8"/>
        <v>67.02000000000001</v>
      </c>
    </row>
    <row r="84" spans="1:8" ht="13.5">
      <c r="A84" s="4">
        <v>82</v>
      </c>
      <c r="B84" s="6" t="s">
        <v>38</v>
      </c>
      <c r="C84" s="6" t="str">
        <f>"2020013203"</f>
        <v>2020013203</v>
      </c>
      <c r="D84" s="1">
        <v>79.1</v>
      </c>
      <c r="E84" s="2">
        <v>86.5</v>
      </c>
      <c r="F84" s="3">
        <f>D84+E84</f>
        <v>165.6</v>
      </c>
      <c r="G84" s="1">
        <v>81.2</v>
      </c>
      <c r="H84" s="16">
        <f t="shared" si="8"/>
        <v>82.16</v>
      </c>
    </row>
    <row r="85" spans="1:8" ht="13.5">
      <c r="A85" s="4">
        <v>83</v>
      </c>
      <c r="B85" s="6" t="s">
        <v>38</v>
      </c>
      <c r="C85" s="6" t="str">
        <f>"2020047307"</f>
        <v>2020047307</v>
      </c>
      <c r="D85" s="1">
        <v>79.5</v>
      </c>
      <c r="E85" s="2">
        <v>69.5</v>
      </c>
      <c r="F85" s="3">
        <f>D85+E85</f>
        <v>149</v>
      </c>
      <c r="G85" s="1">
        <v>79.8</v>
      </c>
      <c r="H85" s="16">
        <f t="shared" si="8"/>
        <v>76.62</v>
      </c>
    </row>
    <row r="86" spans="1:8" ht="13.5">
      <c r="A86" s="4">
        <v>84</v>
      </c>
      <c r="B86" s="6" t="s">
        <v>38</v>
      </c>
      <c r="C86" s="6" t="str">
        <f>"2020013125"</f>
        <v>2020013125</v>
      </c>
      <c r="D86" s="1">
        <v>70.1</v>
      </c>
      <c r="E86" s="2">
        <v>77.5</v>
      </c>
      <c r="F86" s="3">
        <f>D86+E86</f>
        <v>147.6</v>
      </c>
      <c r="G86" s="1">
        <v>78.4</v>
      </c>
      <c r="H86" s="16">
        <f t="shared" si="8"/>
        <v>75.64</v>
      </c>
    </row>
    <row r="87" spans="1:8" ht="13.5">
      <c r="A87" s="4">
        <v>85</v>
      </c>
      <c r="B87" s="6" t="s">
        <v>110</v>
      </c>
      <c r="C87" s="6" t="str">
        <f>"2020041828"</f>
        <v>2020041828</v>
      </c>
      <c r="D87" s="1">
        <v>67.7</v>
      </c>
      <c r="E87" s="2">
        <v>84</v>
      </c>
      <c r="F87" s="3">
        <f>D87+E87</f>
        <v>151.7</v>
      </c>
      <c r="G87" s="1">
        <v>74.5</v>
      </c>
      <c r="H87" s="16">
        <f t="shared" si="8"/>
        <v>75.31</v>
      </c>
    </row>
    <row r="88" spans="1:8" ht="13.5">
      <c r="A88" s="4">
        <v>86</v>
      </c>
      <c r="B88" s="6" t="s">
        <v>110</v>
      </c>
      <c r="C88" s="6" t="str">
        <f>"2020024414"</f>
        <v>2020024414</v>
      </c>
      <c r="D88" s="1">
        <v>74.5</v>
      </c>
      <c r="E88" s="2">
        <v>68.5</v>
      </c>
      <c r="F88" s="3">
        <f>D88+E88</f>
        <v>143</v>
      </c>
      <c r="G88" s="1">
        <v>72.8</v>
      </c>
      <c r="H88" s="16">
        <f t="shared" si="8"/>
        <v>72.02</v>
      </c>
    </row>
    <row r="89" spans="1:8" ht="13.5">
      <c r="A89" s="4">
        <v>87</v>
      </c>
      <c r="B89" s="6" t="s">
        <v>110</v>
      </c>
      <c r="C89" s="6" t="s">
        <v>180</v>
      </c>
      <c r="D89" s="1">
        <v>68.9</v>
      </c>
      <c r="E89" s="2">
        <v>71</v>
      </c>
      <c r="F89" s="7">
        <v>139.9</v>
      </c>
      <c r="G89" s="1">
        <v>71.7</v>
      </c>
      <c r="H89" s="16">
        <f t="shared" si="8"/>
        <v>70.65</v>
      </c>
    </row>
    <row r="90" spans="1:8" ht="13.5">
      <c r="A90" s="4">
        <v>88</v>
      </c>
      <c r="B90" s="6" t="s">
        <v>42</v>
      </c>
      <c r="C90" s="6" t="str">
        <f>"2020047403"</f>
        <v>2020047403</v>
      </c>
      <c r="D90" s="1">
        <v>79.1</v>
      </c>
      <c r="E90" s="2">
        <v>78.5</v>
      </c>
      <c r="F90" s="3">
        <f aca="true" t="shared" si="9" ref="F90:F113">D90+E90</f>
        <v>157.6</v>
      </c>
      <c r="G90" s="1">
        <v>72.9</v>
      </c>
      <c r="H90" s="16">
        <f t="shared" si="8"/>
        <v>76.44</v>
      </c>
    </row>
    <row r="91" spans="1:8" ht="13.5">
      <c r="A91" s="4">
        <v>89</v>
      </c>
      <c r="B91" s="6" t="s">
        <v>42</v>
      </c>
      <c r="C91" s="6" t="str">
        <f>"2020023904"</f>
        <v>2020023904</v>
      </c>
      <c r="D91" s="1">
        <v>73</v>
      </c>
      <c r="E91" s="2">
        <v>74</v>
      </c>
      <c r="F91" s="3">
        <f t="shared" si="9"/>
        <v>147</v>
      </c>
      <c r="G91" s="9">
        <v>73.1</v>
      </c>
      <c r="H91" s="16">
        <f t="shared" si="8"/>
        <v>73.34</v>
      </c>
    </row>
    <row r="92" spans="1:8" ht="15.75">
      <c r="A92" s="4">
        <v>90</v>
      </c>
      <c r="B92" s="6" t="s">
        <v>42</v>
      </c>
      <c r="C92" s="6" t="str">
        <f>"2020023807"</f>
        <v>2020023807</v>
      </c>
      <c r="D92" s="1">
        <v>72</v>
      </c>
      <c r="E92" s="2">
        <v>76</v>
      </c>
      <c r="F92" s="3">
        <f t="shared" si="9"/>
        <v>148</v>
      </c>
      <c r="G92" s="10" t="s">
        <v>232</v>
      </c>
      <c r="H92" s="16">
        <f>F92/2*0.6</f>
        <v>44.4</v>
      </c>
    </row>
    <row r="93" spans="1:8" ht="13.5">
      <c r="A93" s="4">
        <v>91</v>
      </c>
      <c r="B93" s="6" t="s">
        <v>16</v>
      </c>
      <c r="C93" s="6" t="str">
        <f>"2020042421"</f>
        <v>2020042421</v>
      </c>
      <c r="D93" s="1">
        <v>73.1</v>
      </c>
      <c r="E93" s="2">
        <v>86.5</v>
      </c>
      <c r="F93" s="3">
        <f t="shared" si="9"/>
        <v>159.6</v>
      </c>
      <c r="G93" s="1">
        <v>76.7</v>
      </c>
      <c r="H93" s="16">
        <f>F93*0.5*0.6+G93*0.4</f>
        <v>78.56</v>
      </c>
    </row>
    <row r="94" spans="1:8" ht="13.5">
      <c r="A94" s="4">
        <v>92</v>
      </c>
      <c r="B94" s="6" t="s">
        <v>16</v>
      </c>
      <c r="C94" s="6" t="str">
        <f>"2020032203"</f>
        <v>2020032203</v>
      </c>
      <c r="D94" s="1">
        <v>68.6</v>
      </c>
      <c r="E94" s="2">
        <v>86.5</v>
      </c>
      <c r="F94" s="3">
        <f t="shared" si="9"/>
        <v>155.1</v>
      </c>
      <c r="G94" s="9">
        <v>73.7</v>
      </c>
      <c r="H94" s="16">
        <f>F94*0.5*0.6+G94*0.4</f>
        <v>76.00999999999999</v>
      </c>
    </row>
    <row r="95" spans="1:8" ht="15.75">
      <c r="A95" s="4">
        <v>93</v>
      </c>
      <c r="B95" s="6" t="s">
        <v>16</v>
      </c>
      <c r="C95" s="6" t="str">
        <f>"2020047415"</f>
        <v>2020047415</v>
      </c>
      <c r="D95" s="1">
        <v>76.9</v>
      </c>
      <c r="E95" s="2">
        <v>81.5</v>
      </c>
      <c r="F95" s="3">
        <f t="shared" si="9"/>
        <v>158.4</v>
      </c>
      <c r="G95" s="10" t="s">
        <v>232</v>
      </c>
      <c r="H95" s="16">
        <f>F95/2*0.6</f>
        <v>47.52</v>
      </c>
    </row>
    <row r="96" spans="1:8" ht="13.5">
      <c r="A96" s="4">
        <v>94</v>
      </c>
      <c r="B96" s="6" t="s">
        <v>53</v>
      </c>
      <c r="C96" s="6" t="str">
        <f>"2020032820"</f>
        <v>2020032820</v>
      </c>
      <c r="D96" s="1">
        <v>70</v>
      </c>
      <c r="E96" s="2">
        <v>83</v>
      </c>
      <c r="F96" s="3">
        <f t="shared" si="9"/>
        <v>153</v>
      </c>
      <c r="G96" s="1">
        <v>77.7</v>
      </c>
      <c r="H96" s="16">
        <f aca="true" t="shared" si="10" ref="H96:H114">F96*0.5*0.6+G96*0.4</f>
        <v>76.98</v>
      </c>
    </row>
    <row r="97" spans="1:8" ht="13.5">
      <c r="A97" s="4">
        <v>95</v>
      </c>
      <c r="B97" s="6" t="s">
        <v>53</v>
      </c>
      <c r="C97" s="6" t="str">
        <f>"2020045614"</f>
        <v>2020045614</v>
      </c>
      <c r="D97" s="1">
        <v>74.5</v>
      </c>
      <c r="E97" s="2">
        <v>75.5</v>
      </c>
      <c r="F97" s="3">
        <f t="shared" si="9"/>
        <v>150</v>
      </c>
      <c r="G97" s="1">
        <v>77</v>
      </c>
      <c r="H97" s="16">
        <f t="shared" si="10"/>
        <v>75.8</v>
      </c>
    </row>
    <row r="98" spans="1:8" ht="13.5">
      <c r="A98" s="4">
        <v>96</v>
      </c>
      <c r="B98" s="6" t="s">
        <v>53</v>
      </c>
      <c r="C98" s="6" t="str">
        <f>"2020045714"</f>
        <v>2020045714</v>
      </c>
      <c r="D98" s="1">
        <v>67.3</v>
      </c>
      <c r="E98" s="2">
        <v>78</v>
      </c>
      <c r="F98" s="3">
        <f t="shared" si="9"/>
        <v>145.3</v>
      </c>
      <c r="G98" s="1">
        <v>71.8</v>
      </c>
      <c r="H98" s="16">
        <f t="shared" si="10"/>
        <v>72.31</v>
      </c>
    </row>
    <row r="99" spans="1:8" ht="13.5">
      <c r="A99" s="4">
        <v>97</v>
      </c>
      <c r="B99" s="6" t="s">
        <v>127</v>
      </c>
      <c r="C99" s="6" t="str">
        <f>"2020040324"</f>
        <v>2020040324</v>
      </c>
      <c r="D99" s="1">
        <v>71.4</v>
      </c>
      <c r="E99" s="2">
        <v>77</v>
      </c>
      <c r="F99" s="3">
        <f t="shared" si="9"/>
        <v>148.4</v>
      </c>
      <c r="G99" s="1">
        <v>78.6</v>
      </c>
      <c r="H99" s="16">
        <f t="shared" si="10"/>
        <v>75.96000000000001</v>
      </c>
    </row>
    <row r="100" spans="1:8" ht="13.5">
      <c r="A100" s="4">
        <v>98</v>
      </c>
      <c r="B100" s="6" t="s">
        <v>127</v>
      </c>
      <c r="C100" s="6" t="str">
        <f>"2020040711"</f>
        <v>2020040711</v>
      </c>
      <c r="D100" s="1">
        <v>75.6</v>
      </c>
      <c r="E100" s="2">
        <v>73.5</v>
      </c>
      <c r="F100" s="3">
        <f t="shared" si="9"/>
        <v>149.1</v>
      </c>
      <c r="G100" s="1">
        <v>77.3</v>
      </c>
      <c r="H100" s="16">
        <f t="shared" si="10"/>
        <v>75.65</v>
      </c>
    </row>
    <row r="101" spans="1:8" ht="13.5">
      <c r="A101" s="4">
        <v>99</v>
      </c>
      <c r="B101" s="6" t="s">
        <v>127</v>
      </c>
      <c r="C101" s="6" t="str">
        <f>"2020043428"</f>
        <v>2020043428</v>
      </c>
      <c r="D101" s="1">
        <v>67.5</v>
      </c>
      <c r="E101" s="2">
        <v>79</v>
      </c>
      <c r="F101" s="3">
        <f t="shared" si="9"/>
        <v>146.5</v>
      </c>
      <c r="G101" s="1">
        <v>73.1</v>
      </c>
      <c r="H101" s="16">
        <f t="shared" si="10"/>
        <v>73.19</v>
      </c>
    </row>
    <row r="102" spans="1:8" ht="13.5">
      <c r="A102" s="4">
        <v>100</v>
      </c>
      <c r="B102" s="6" t="s">
        <v>127</v>
      </c>
      <c r="C102" s="6" t="str">
        <f>"2020021307"</f>
        <v>2020021307</v>
      </c>
      <c r="D102" s="1">
        <v>73.3</v>
      </c>
      <c r="E102" s="2">
        <v>68</v>
      </c>
      <c r="F102" s="3">
        <f t="shared" si="9"/>
        <v>141.3</v>
      </c>
      <c r="G102" s="1">
        <v>71.8</v>
      </c>
      <c r="H102" s="16">
        <f t="shared" si="10"/>
        <v>71.11</v>
      </c>
    </row>
    <row r="103" spans="1:8" ht="13.5">
      <c r="A103" s="4">
        <v>101</v>
      </c>
      <c r="B103" s="6" t="s">
        <v>127</v>
      </c>
      <c r="C103" s="6" t="str">
        <f>"2020021919"</f>
        <v>2020021919</v>
      </c>
      <c r="D103" s="1">
        <v>66.7</v>
      </c>
      <c r="E103" s="2">
        <v>72</v>
      </c>
      <c r="F103" s="3">
        <f t="shared" si="9"/>
        <v>138.7</v>
      </c>
      <c r="G103" s="1">
        <v>73.4</v>
      </c>
      <c r="H103" s="16">
        <f t="shared" si="10"/>
        <v>70.97</v>
      </c>
    </row>
    <row r="104" spans="1:8" ht="13.5">
      <c r="A104" s="4">
        <v>102</v>
      </c>
      <c r="B104" s="6" t="s">
        <v>102</v>
      </c>
      <c r="C104" s="6" t="str">
        <f>"2020024014"</f>
        <v>2020024014</v>
      </c>
      <c r="D104" s="1">
        <v>67.4</v>
      </c>
      <c r="E104" s="2">
        <v>80.5</v>
      </c>
      <c r="F104" s="3">
        <f t="shared" si="9"/>
        <v>147.9</v>
      </c>
      <c r="G104" s="1">
        <v>75.2</v>
      </c>
      <c r="H104" s="16">
        <f t="shared" si="10"/>
        <v>74.45</v>
      </c>
    </row>
    <row r="105" spans="1:8" ht="13.5">
      <c r="A105" s="4">
        <v>103</v>
      </c>
      <c r="B105" s="6" t="s">
        <v>102</v>
      </c>
      <c r="C105" s="6" t="str">
        <f>"2020013425"</f>
        <v>2020013425</v>
      </c>
      <c r="D105" s="1">
        <v>68.6</v>
      </c>
      <c r="E105" s="2">
        <v>78.5</v>
      </c>
      <c r="F105" s="3">
        <f t="shared" si="9"/>
        <v>147.1</v>
      </c>
      <c r="G105" s="1">
        <v>73.6</v>
      </c>
      <c r="H105" s="16">
        <f t="shared" si="10"/>
        <v>73.57</v>
      </c>
    </row>
    <row r="106" spans="1:8" ht="13.5">
      <c r="A106" s="4">
        <v>104</v>
      </c>
      <c r="B106" s="6" t="s">
        <v>102</v>
      </c>
      <c r="C106" s="6" t="str">
        <f>"2020042517"</f>
        <v>2020042517</v>
      </c>
      <c r="D106" s="1">
        <v>73.1</v>
      </c>
      <c r="E106" s="2">
        <v>66.5</v>
      </c>
      <c r="F106" s="3">
        <f t="shared" si="9"/>
        <v>139.6</v>
      </c>
      <c r="G106" s="1">
        <v>74.6</v>
      </c>
      <c r="H106" s="16">
        <f t="shared" si="10"/>
        <v>71.72</v>
      </c>
    </row>
    <row r="107" spans="1:8" ht="13.5">
      <c r="A107" s="4">
        <v>105</v>
      </c>
      <c r="B107" s="6" t="s">
        <v>145</v>
      </c>
      <c r="C107" s="6" t="str">
        <f>"2020045607"</f>
        <v>2020045607</v>
      </c>
      <c r="D107" s="1">
        <v>69.3</v>
      </c>
      <c r="E107" s="2">
        <v>68.5</v>
      </c>
      <c r="F107" s="3">
        <f t="shared" si="9"/>
        <v>137.8</v>
      </c>
      <c r="G107" s="1">
        <v>73.2</v>
      </c>
      <c r="H107" s="16">
        <f t="shared" si="10"/>
        <v>70.62</v>
      </c>
    </row>
    <row r="108" spans="1:8" ht="13.5">
      <c r="A108" s="4">
        <v>106</v>
      </c>
      <c r="B108" s="6" t="s">
        <v>67</v>
      </c>
      <c r="C108" s="6" t="str">
        <f>"2020032505"</f>
        <v>2020032505</v>
      </c>
      <c r="D108" s="1">
        <v>67.7</v>
      </c>
      <c r="E108" s="2">
        <v>71.5</v>
      </c>
      <c r="F108" s="3">
        <f t="shared" si="9"/>
        <v>139.2</v>
      </c>
      <c r="G108" s="1">
        <v>77.8</v>
      </c>
      <c r="H108" s="16">
        <f t="shared" si="10"/>
        <v>72.88</v>
      </c>
    </row>
    <row r="109" spans="1:8" ht="13.5">
      <c r="A109" s="4">
        <v>107</v>
      </c>
      <c r="B109" s="6" t="s">
        <v>67</v>
      </c>
      <c r="C109" s="6" t="str">
        <f>"2020046728"</f>
        <v>2020046728</v>
      </c>
      <c r="D109" s="1">
        <v>73.3</v>
      </c>
      <c r="E109" s="2">
        <v>64</v>
      </c>
      <c r="F109" s="3">
        <f t="shared" si="9"/>
        <v>137.3</v>
      </c>
      <c r="G109" s="1">
        <v>76.4</v>
      </c>
      <c r="H109" s="16">
        <f t="shared" si="10"/>
        <v>71.75</v>
      </c>
    </row>
    <row r="110" spans="1:8" ht="13.5">
      <c r="A110" s="4">
        <v>108</v>
      </c>
      <c r="B110" s="6" t="s">
        <v>67</v>
      </c>
      <c r="C110" s="6" t="str">
        <f>"2020041303"</f>
        <v>2020041303</v>
      </c>
      <c r="D110" s="1">
        <v>63.5</v>
      </c>
      <c r="E110" s="2">
        <v>70</v>
      </c>
      <c r="F110" s="3">
        <f t="shared" si="9"/>
        <v>133.5</v>
      </c>
      <c r="G110" s="1">
        <v>76.2</v>
      </c>
      <c r="H110" s="16">
        <f t="shared" si="10"/>
        <v>70.53</v>
      </c>
    </row>
    <row r="111" spans="1:8" ht="13.5">
      <c r="A111" s="4">
        <v>109</v>
      </c>
      <c r="B111" s="6" t="s">
        <v>97</v>
      </c>
      <c r="C111" s="6" t="str">
        <f>"2020031112"</f>
        <v>2020031112</v>
      </c>
      <c r="D111" s="1">
        <v>69.8</v>
      </c>
      <c r="E111" s="2">
        <v>81.5</v>
      </c>
      <c r="F111" s="3">
        <f t="shared" si="9"/>
        <v>151.3</v>
      </c>
      <c r="G111" s="9">
        <v>76</v>
      </c>
      <c r="H111" s="16">
        <f t="shared" si="10"/>
        <v>75.79</v>
      </c>
    </row>
    <row r="112" spans="1:8" ht="13.5">
      <c r="A112" s="4">
        <v>110</v>
      </c>
      <c r="B112" s="6" t="s">
        <v>97</v>
      </c>
      <c r="C112" s="6" t="str">
        <f>"2020044105"</f>
        <v>2020044105</v>
      </c>
      <c r="D112" s="1">
        <v>68.3</v>
      </c>
      <c r="E112" s="2">
        <v>72</v>
      </c>
      <c r="F112" s="3">
        <f t="shared" si="9"/>
        <v>140.3</v>
      </c>
      <c r="G112" s="1">
        <v>78.8</v>
      </c>
      <c r="H112" s="16">
        <f t="shared" si="10"/>
        <v>73.61</v>
      </c>
    </row>
    <row r="113" spans="1:8" ht="13.5">
      <c r="A113" s="4">
        <v>111</v>
      </c>
      <c r="B113" s="6" t="s">
        <v>97</v>
      </c>
      <c r="C113" s="6" t="str">
        <f>"2020046008"</f>
        <v>2020046008</v>
      </c>
      <c r="D113" s="1">
        <v>74.6</v>
      </c>
      <c r="E113" s="2">
        <v>70</v>
      </c>
      <c r="F113" s="3">
        <f t="shared" si="9"/>
        <v>144.6</v>
      </c>
      <c r="G113" s="1">
        <v>75.2</v>
      </c>
      <c r="H113" s="16">
        <f t="shared" si="10"/>
        <v>73.46</v>
      </c>
    </row>
    <row r="114" spans="1:8" ht="13.5">
      <c r="A114" s="4">
        <v>112</v>
      </c>
      <c r="B114" s="6" t="s">
        <v>97</v>
      </c>
      <c r="C114" s="6" t="s">
        <v>181</v>
      </c>
      <c r="D114" s="1">
        <v>70.8</v>
      </c>
      <c r="E114" s="2">
        <v>66.5</v>
      </c>
      <c r="F114" s="7">
        <v>137.3</v>
      </c>
      <c r="G114" s="1">
        <v>74.4</v>
      </c>
      <c r="H114" s="16">
        <f t="shared" si="10"/>
        <v>70.95000000000002</v>
      </c>
    </row>
    <row r="115" spans="1:8" ht="15.75">
      <c r="A115" s="4">
        <v>113</v>
      </c>
      <c r="B115" s="6" t="s">
        <v>97</v>
      </c>
      <c r="C115" s="6" t="str">
        <f>"2020044218"</f>
        <v>2020044218</v>
      </c>
      <c r="D115" s="1">
        <v>75.3</v>
      </c>
      <c r="E115" s="2">
        <v>93</v>
      </c>
      <c r="F115" s="3">
        <f aca="true" t="shared" si="11" ref="F115:F120">D115+E115</f>
        <v>168.3</v>
      </c>
      <c r="G115" s="8" t="s">
        <v>232</v>
      </c>
      <c r="H115" s="16">
        <f>F115/2*0.6</f>
        <v>50.49</v>
      </c>
    </row>
    <row r="116" spans="1:8" ht="15.75">
      <c r="A116" s="4">
        <v>114</v>
      </c>
      <c r="B116" s="6" t="s">
        <v>97</v>
      </c>
      <c r="C116" s="6" t="str">
        <f>"2020010802"</f>
        <v>2020010802</v>
      </c>
      <c r="D116" s="1">
        <v>70.6</v>
      </c>
      <c r="E116" s="2">
        <v>67</v>
      </c>
      <c r="F116" s="3">
        <f t="shared" si="11"/>
        <v>137.6</v>
      </c>
      <c r="G116" s="10" t="s">
        <v>232</v>
      </c>
      <c r="H116" s="16">
        <f>F116/2*0.6</f>
        <v>41.279999999999994</v>
      </c>
    </row>
    <row r="117" spans="1:8" ht="13.5">
      <c r="A117" s="4">
        <v>115</v>
      </c>
      <c r="B117" s="6" t="s">
        <v>74</v>
      </c>
      <c r="C117" s="6" t="str">
        <f>"2020012713"</f>
        <v>2020012713</v>
      </c>
      <c r="D117" s="1">
        <v>72.7</v>
      </c>
      <c r="E117" s="2">
        <v>83.5</v>
      </c>
      <c r="F117" s="3">
        <f t="shared" si="11"/>
        <v>156.2</v>
      </c>
      <c r="G117" s="1">
        <v>75.2</v>
      </c>
      <c r="H117" s="16">
        <f aca="true" t="shared" si="12" ref="H117:H127">F117*0.5*0.6+G117*0.4</f>
        <v>76.94</v>
      </c>
    </row>
    <row r="118" spans="1:8" ht="13.5">
      <c r="A118" s="4">
        <v>116</v>
      </c>
      <c r="B118" s="6" t="s">
        <v>74</v>
      </c>
      <c r="C118" s="6" t="str">
        <f>"2020045117"</f>
        <v>2020045117</v>
      </c>
      <c r="D118" s="1">
        <v>74.3</v>
      </c>
      <c r="E118" s="2">
        <v>79</v>
      </c>
      <c r="F118" s="3">
        <f t="shared" si="11"/>
        <v>153.3</v>
      </c>
      <c r="G118" s="1">
        <v>72.2</v>
      </c>
      <c r="H118" s="16">
        <f t="shared" si="12"/>
        <v>74.87</v>
      </c>
    </row>
    <row r="119" spans="1:8" ht="13.5">
      <c r="A119" s="4">
        <v>117</v>
      </c>
      <c r="B119" s="6" t="s">
        <v>74</v>
      </c>
      <c r="C119" s="6" t="str">
        <f>"2020011014"</f>
        <v>2020011014</v>
      </c>
      <c r="D119" s="1">
        <v>67.7</v>
      </c>
      <c r="E119" s="2">
        <v>78.5</v>
      </c>
      <c r="F119" s="3">
        <f t="shared" si="11"/>
        <v>146.2</v>
      </c>
      <c r="G119" s="1">
        <v>77</v>
      </c>
      <c r="H119" s="16">
        <f t="shared" si="12"/>
        <v>74.66</v>
      </c>
    </row>
    <row r="120" spans="1:8" ht="13.5">
      <c r="A120" s="4">
        <v>118</v>
      </c>
      <c r="B120" s="6" t="s">
        <v>74</v>
      </c>
      <c r="C120" s="6" t="str">
        <f>"2020043518"</f>
        <v>2020043518</v>
      </c>
      <c r="D120" s="1">
        <v>71.7</v>
      </c>
      <c r="E120" s="2">
        <v>79</v>
      </c>
      <c r="F120" s="3">
        <f t="shared" si="11"/>
        <v>150.7</v>
      </c>
      <c r="G120" s="1">
        <v>73.4</v>
      </c>
      <c r="H120" s="16">
        <f t="shared" si="12"/>
        <v>74.57</v>
      </c>
    </row>
    <row r="121" spans="1:8" s="5" customFormat="1" ht="13.5">
      <c r="A121" s="4">
        <v>119</v>
      </c>
      <c r="B121" s="6" t="s">
        <v>74</v>
      </c>
      <c r="C121" s="6">
        <v>2020044230</v>
      </c>
      <c r="D121" s="1">
        <v>71.9</v>
      </c>
      <c r="E121" s="2">
        <v>72.5</v>
      </c>
      <c r="F121" s="7">
        <v>144.4</v>
      </c>
      <c r="G121" s="1">
        <v>70</v>
      </c>
      <c r="H121" s="16">
        <f t="shared" si="12"/>
        <v>71.32</v>
      </c>
    </row>
    <row r="122" spans="1:8" s="5" customFormat="1" ht="13.5">
      <c r="A122" s="4">
        <v>120</v>
      </c>
      <c r="B122" s="6" t="s">
        <v>74</v>
      </c>
      <c r="C122" s="6" t="s">
        <v>182</v>
      </c>
      <c r="D122" s="1">
        <v>74.3</v>
      </c>
      <c r="E122" s="2">
        <v>70</v>
      </c>
      <c r="F122" s="7">
        <v>144.3</v>
      </c>
      <c r="G122" s="1">
        <v>67.8</v>
      </c>
      <c r="H122" s="16">
        <f t="shared" si="12"/>
        <v>70.41</v>
      </c>
    </row>
    <row r="123" spans="1:8" ht="13.5">
      <c r="A123" s="4">
        <v>121</v>
      </c>
      <c r="B123" s="6" t="s">
        <v>162</v>
      </c>
      <c r="C123" s="6" t="str">
        <f>"2020024009"</f>
        <v>2020024009</v>
      </c>
      <c r="D123" s="1">
        <v>69.3</v>
      </c>
      <c r="E123" s="2">
        <v>84.5</v>
      </c>
      <c r="F123" s="3">
        <f aca="true" t="shared" si="13" ref="F123:F130">D123+E123</f>
        <v>153.8</v>
      </c>
      <c r="G123" s="1">
        <v>73.4</v>
      </c>
      <c r="H123" s="16">
        <f t="shared" si="12"/>
        <v>75.5</v>
      </c>
    </row>
    <row r="124" spans="1:8" ht="13.5">
      <c r="A124" s="4">
        <v>122</v>
      </c>
      <c r="B124" s="6" t="s">
        <v>162</v>
      </c>
      <c r="C124" s="6" t="str">
        <f>"2020024717"</f>
        <v>2020024717</v>
      </c>
      <c r="D124" s="1">
        <v>72.4</v>
      </c>
      <c r="E124" s="2">
        <v>68</v>
      </c>
      <c r="F124" s="3">
        <f t="shared" si="13"/>
        <v>140.4</v>
      </c>
      <c r="G124" s="1">
        <v>77.4</v>
      </c>
      <c r="H124" s="16">
        <f t="shared" si="12"/>
        <v>73.08</v>
      </c>
    </row>
    <row r="125" spans="1:8" ht="13.5">
      <c r="A125" s="4">
        <v>123</v>
      </c>
      <c r="B125" s="6" t="s">
        <v>162</v>
      </c>
      <c r="C125" s="6" t="str">
        <f>"2020020906"</f>
        <v>2020020906</v>
      </c>
      <c r="D125" s="1">
        <v>65.7</v>
      </c>
      <c r="E125" s="2">
        <v>76.5</v>
      </c>
      <c r="F125" s="3">
        <f t="shared" si="13"/>
        <v>142.2</v>
      </c>
      <c r="G125" s="1">
        <v>76</v>
      </c>
      <c r="H125" s="16">
        <f t="shared" si="12"/>
        <v>73.06</v>
      </c>
    </row>
    <row r="126" spans="1:8" ht="13.5">
      <c r="A126" s="4">
        <v>124</v>
      </c>
      <c r="B126" s="6" t="s">
        <v>162</v>
      </c>
      <c r="C126" s="6" t="str">
        <f>"2020042226"</f>
        <v>2020042226</v>
      </c>
      <c r="D126" s="1">
        <v>72.8</v>
      </c>
      <c r="E126" s="2">
        <v>66.5</v>
      </c>
      <c r="F126" s="3">
        <f t="shared" si="13"/>
        <v>139.3</v>
      </c>
      <c r="G126" s="1">
        <v>70</v>
      </c>
      <c r="H126" s="16">
        <f t="shared" si="12"/>
        <v>69.78999999999999</v>
      </c>
    </row>
    <row r="127" spans="1:8" ht="13.5">
      <c r="A127" s="4">
        <v>125</v>
      </c>
      <c r="B127" s="6" t="s">
        <v>162</v>
      </c>
      <c r="C127" s="6" t="str">
        <f>"2020014027"</f>
        <v>2020014027</v>
      </c>
      <c r="D127" s="1">
        <v>59.7</v>
      </c>
      <c r="E127" s="2">
        <v>78.5</v>
      </c>
      <c r="F127" s="3">
        <f t="shared" si="13"/>
        <v>138.2</v>
      </c>
      <c r="G127" s="1">
        <v>70.4</v>
      </c>
      <c r="H127" s="16">
        <f t="shared" si="12"/>
        <v>69.62</v>
      </c>
    </row>
    <row r="128" spans="1:8" ht="15.75">
      <c r="A128" s="4">
        <v>126</v>
      </c>
      <c r="B128" s="6" t="s">
        <v>162</v>
      </c>
      <c r="C128" s="6" t="str">
        <f>"2020024030"</f>
        <v>2020024030</v>
      </c>
      <c r="D128" s="1">
        <v>62.6</v>
      </c>
      <c r="E128" s="2">
        <v>75.5</v>
      </c>
      <c r="F128" s="3">
        <f t="shared" si="13"/>
        <v>138.1</v>
      </c>
      <c r="G128" s="8" t="s">
        <v>232</v>
      </c>
      <c r="H128" s="16">
        <f>F128/2*0.6</f>
        <v>41.43</v>
      </c>
    </row>
    <row r="129" spans="1:8" ht="13.5">
      <c r="A129" s="4">
        <v>127</v>
      </c>
      <c r="B129" s="6" t="s">
        <v>51</v>
      </c>
      <c r="C129" s="6" t="str">
        <f>"2020021624"</f>
        <v>2020021624</v>
      </c>
      <c r="D129" s="1">
        <v>69.6</v>
      </c>
      <c r="E129" s="2">
        <v>82.5</v>
      </c>
      <c r="F129" s="3">
        <f t="shared" si="13"/>
        <v>152.1</v>
      </c>
      <c r="G129" s="1">
        <v>72.2</v>
      </c>
      <c r="H129" s="16">
        <f aca="true" t="shared" si="14" ref="H129:H136">F129*0.5*0.6+G129*0.4</f>
        <v>74.50999999999999</v>
      </c>
    </row>
    <row r="130" spans="1:8" ht="13.5">
      <c r="A130" s="4">
        <v>128</v>
      </c>
      <c r="B130" s="6" t="s">
        <v>51</v>
      </c>
      <c r="C130" s="6" t="str">
        <f>"2020031423"</f>
        <v>2020031423</v>
      </c>
      <c r="D130" s="1">
        <v>71.1</v>
      </c>
      <c r="E130" s="2">
        <v>79.5</v>
      </c>
      <c r="F130" s="3">
        <f t="shared" si="13"/>
        <v>150.6</v>
      </c>
      <c r="G130" s="1">
        <v>72.2</v>
      </c>
      <c r="H130" s="16">
        <f t="shared" si="14"/>
        <v>74.06</v>
      </c>
    </row>
    <row r="131" spans="1:8" ht="13.5">
      <c r="A131" s="4">
        <v>129</v>
      </c>
      <c r="B131" s="6" t="s">
        <v>51</v>
      </c>
      <c r="C131" s="6" t="s">
        <v>183</v>
      </c>
      <c r="D131" s="1">
        <v>74.4</v>
      </c>
      <c r="E131" s="2">
        <v>70</v>
      </c>
      <c r="F131" s="7">
        <v>144.4</v>
      </c>
      <c r="G131" s="1">
        <v>73.1</v>
      </c>
      <c r="H131" s="16">
        <f t="shared" si="14"/>
        <v>72.56</v>
      </c>
    </row>
    <row r="132" spans="1:8" ht="13.5">
      <c r="A132" s="4">
        <v>130</v>
      </c>
      <c r="B132" s="6" t="s">
        <v>35</v>
      </c>
      <c r="C132" s="6" t="str">
        <f>"2020033419"</f>
        <v>2020033419</v>
      </c>
      <c r="D132" s="1">
        <v>80.1</v>
      </c>
      <c r="E132" s="2">
        <v>79</v>
      </c>
      <c r="F132" s="3">
        <f aca="true" t="shared" si="15" ref="F132:F142">D132+E132</f>
        <v>159.1</v>
      </c>
      <c r="G132" s="1">
        <v>75.5</v>
      </c>
      <c r="H132" s="16">
        <f t="shared" si="14"/>
        <v>77.93</v>
      </c>
    </row>
    <row r="133" spans="1:8" ht="13.5">
      <c r="A133" s="4">
        <v>131</v>
      </c>
      <c r="B133" s="6" t="s">
        <v>35</v>
      </c>
      <c r="C133" s="6" t="str">
        <f>"2020046804"</f>
        <v>2020046804</v>
      </c>
      <c r="D133" s="1">
        <v>77.9</v>
      </c>
      <c r="E133" s="2">
        <v>77.5</v>
      </c>
      <c r="F133" s="3">
        <f t="shared" si="15"/>
        <v>155.4</v>
      </c>
      <c r="G133" s="9">
        <v>75.8</v>
      </c>
      <c r="H133" s="16">
        <f t="shared" si="14"/>
        <v>76.94</v>
      </c>
    </row>
    <row r="134" spans="1:8" ht="13.5">
      <c r="A134" s="4">
        <v>132</v>
      </c>
      <c r="B134" s="6" t="s">
        <v>35</v>
      </c>
      <c r="C134" s="6" t="str">
        <f>"2020012104"</f>
        <v>2020012104</v>
      </c>
      <c r="D134" s="1">
        <v>65</v>
      </c>
      <c r="E134" s="2">
        <v>88</v>
      </c>
      <c r="F134" s="3">
        <f t="shared" si="15"/>
        <v>153</v>
      </c>
      <c r="G134" s="1">
        <v>77.1</v>
      </c>
      <c r="H134" s="16">
        <f t="shared" si="14"/>
        <v>76.74</v>
      </c>
    </row>
    <row r="135" spans="1:8" ht="13.5">
      <c r="A135" s="4">
        <v>133</v>
      </c>
      <c r="B135" s="6" t="s">
        <v>35</v>
      </c>
      <c r="C135" s="6" t="str">
        <f>"2020022912"</f>
        <v>2020022912</v>
      </c>
      <c r="D135" s="1">
        <v>79.2</v>
      </c>
      <c r="E135" s="2">
        <v>73</v>
      </c>
      <c r="F135" s="3">
        <f t="shared" si="15"/>
        <v>152.2</v>
      </c>
      <c r="G135" s="1">
        <v>76.6</v>
      </c>
      <c r="H135" s="16">
        <f t="shared" si="14"/>
        <v>76.3</v>
      </c>
    </row>
    <row r="136" spans="1:8" ht="13.5">
      <c r="A136" s="4">
        <v>134</v>
      </c>
      <c r="B136" s="6" t="s">
        <v>35</v>
      </c>
      <c r="C136" s="6" t="str">
        <f>"2020013622"</f>
        <v>2020013622</v>
      </c>
      <c r="D136" s="1">
        <v>73.4</v>
      </c>
      <c r="E136" s="2">
        <v>77</v>
      </c>
      <c r="F136" s="3">
        <f t="shared" si="15"/>
        <v>150.4</v>
      </c>
      <c r="G136" s="1">
        <v>73.76</v>
      </c>
      <c r="H136" s="16">
        <f t="shared" si="14"/>
        <v>74.624</v>
      </c>
    </row>
    <row r="137" spans="1:8" ht="15.75">
      <c r="A137" s="4">
        <v>135</v>
      </c>
      <c r="B137" s="6" t="s">
        <v>35</v>
      </c>
      <c r="C137" s="6" t="str">
        <f>"2020047424"</f>
        <v>2020047424</v>
      </c>
      <c r="D137" s="1">
        <v>74.7</v>
      </c>
      <c r="E137" s="2">
        <v>82.5</v>
      </c>
      <c r="F137" s="3">
        <f t="shared" si="15"/>
        <v>157.2</v>
      </c>
      <c r="G137" s="10" t="s">
        <v>232</v>
      </c>
      <c r="H137" s="16">
        <f>F137/2*0.6</f>
        <v>47.16</v>
      </c>
    </row>
    <row r="138" spans="1:8" ht="13.5">
      <c r="A138" s="4">
        <v>136</v>
      </c>
      <c r="B138" s="6" t="s">
        <v>150</v>
      </c>
      <c r="C138" s="6" t="str">
        <f>"2020031329"</f>
        <v>2020031329</v>
      </c>
      <c r="D138" s="1">
        <v>67.8</v>
      </c>
      <c r="E138" s="2">
        <v>89.5</v>
      </c>
      <c r="F138" s="3">
        <f t="shared" si="15"/>
        <v>157.3</v>
      </c>
      <c r="G138" s="1">
        <v>76.02</v>
      </c>
      <c r="H138" s="16">
        <f aca="true" t="shared" si="16" ref="H138:H150">F138*0.5*0.6+G138*0.4</f>
        <v>77.59800000000001</v>
      </c>
    </row>
    <row r="139" spans="1:8" ht="13.5">
      <c r="A139" s="4">
        <v>137</v>
      </c>
      <c r="B139" s="6" t="s">
        <v>150</v>
      </c>
      <c r="C139" s="6" t="str">
        <f>"2020012806"</f>
        <v>2020012806</v>
      </c>
      <c r="D139" s="1">
        <v>75.4</v>
      </c>
      <c r="E139" s="2">
        <v>73</v>
      </c>
      <c r="F139" s="3">
        <f t="shared" si="15"/>
        <v>148.4</v>
      </c>
      <c r="G139" s="1">
        <v>74.08</v>
      </c>
      <c r="H139" s="16">
        <f t="shared" si="16"/>
        <v>74.152</v>
      </c>
    </row>
    <row r="140" spans="1:8" ht="13.5">
      <c r="A140" s="4">
        <v>138</v>
      </c>
      <c r="B140" s="6" t="s">
        <v>150</v>
      </c>
      <c r="C140" s="6" t="str">
        <f>"2020043830"</f>
        <v>2020043830</v>
      </c>
      <c r="D140" s="1">
        <v>70.7</v>
      </c>
      <c r="E140" s="2">
        <v>77</v>
      </c>
      <c r="F140" s="3">
        <f t="shared" si="15"/>
        <v>147.7</v>
      </c>
      <c r="G140" s="1">
        <v>73.8</v>
      </c>
      <c r="H140" s="16">
        <f t="shared" si="16"/>
        <v>73.83</v>
      </c>
    </row>
    <row r="141" spans="1:8" ht="13.5">
      <c r="A141" s="4">
        <v>139</v>
      </c>
      <c r="B141" s="6" t="s">
        <v>150</v>
      </c>
      <c r="C141" s="6" t="str">
        <f>"2020033322"</f>
        <v>2020033322</v>
      </c>
      <c r="D141" s="1">
        <v>74.5</v>
      </c>
      <c r="E141" s="2">
        <v>69</v>
      </c>
      <c r="F141" s="3">
        <f t="shared" si="15"/>
        <v>143.5</v>
      </c>
      <c r="G141" s="1">
        <v>72.9</v>
      </c>
      <c r="H141" s="16">
        <f t="shared" si="16"/>
        <v>72.21000000000001</v>
      </c>
    </row>
    <row r="142" spans="1:8" ht="13.5">
      <c r="A142" s="4">
        <v>140</v>
      </c>
      <c r="B142" s="6" t="s">
        <v>150</v>
      </c>
      <c r="C142" s="6" t="str">
        <f>"2020043318"</f>
        <v>2020043318</v>
      </c>
      <c r="D142" s="1">
        <v>66.7</v>
      </c>
      <c r="E142" s="2">
        <v>66</v>
      </c>
      <c r="F142" s="3">
        <f t="shared" si="15"/>
        <v>132.7</v>
      </c>
      <c r="G142" s="1">
        <v>72</v>
      </c>
      <c r="H142" s="16">
        <f t="shared" si="16"/>
        <v>68.61</v>
      </c>
    </row>
    <row r="143" spans="1:8" ht="13.5">
      <c r="A143" s="4">
        <v>141</v>
      </c>
      <c r="B143" s="6" t="s">
        <v>150</v>
      </c>
      <c r="C143" s="6" t="s">
        <v>184</v>
      </c>
      <c r="D143" s="1">
        <v>67</v>
      </c>
      <c r="E143" s="2">
        <v>62</v>
      </c>
      <c r="F143" s="7">
        <v>129</v>
      </c>
      <c r="G143" s="1">
        <v>71.3</v>
      </c>
      <c r="H143" s="16">
        <f t="shared" si="16"/>
        <v>67.22</v>
      </c>
    </row>
    <row r="144" spans="1:8" ht="13.5">
      <c r="A144" s="4">
        <v>142</v>
      </c>
      <c r="B144" s="6" t="s">
        <v>37</v>
      </c>
      <c r="C144" s="6" t="str">
        <f>"2020042219"</f>
        <v>2020042219</v>
      </c>
      <c r="D144" s="1">
        <v>66.6</v>
      </c>
      <c r="E144" s="2">
        <v>80</v>
      </c>
      <c r="F144" s="3">
        <f aca="true" t="shared" si="17" ref="F144:F149">D144+E144</f>
        <v>146.6</v>
      </c>
      <c r="G144" s="1">
        <v>75.3</v>
      </c>
      <c r="H144" s="16">
        <f t="shared" si="16"/>
        <v>74.1</v>
      </c>
    </row>
    <row r="145" spans="1:8" ht="13.5">
      <c r="A145" s="4">
        <v>143</v>
      </c>
      <c r="B145" s="6" t="s">
        <v>37</v>
      </c>
      <c r="C145" s="6" t="str">
        <f>"2020030221"</f>
        <v>2020030221</v>
      </c>
      <c r="D145" s="1">
        <v>76.7</v>
      </c>
      <c r="E145" s="2">
        <v>62.5</v>
      </c>
      <c r="F145" s="3">
        <f t="shared" si="17"/>
        <v>139.2</v>
      </c>
      <c r="G145" s="1">
        <v>69.6</v>
      </c>
      <c r="H145" s="16">
        <f t="shared" si="16"/>
        <v>69.6</v>
      </c>
    </row>
    <row r="146" spans="1:8" ht="13.5">
      <c r="A146" s="4">
        <v>144</v>
      </c>
      <c r="B146" s="6" t="s">
        <v>8</v>
      </c>
      <c r="C146" s="6" t="str">
        <f>"2020031410"</f>
        <v>2020031410</v>
      </c>
      <c r="D146" s="1">
        <v>74.6</v>
      </c>
      <c r="E146" s="2">
        <v>83</v>
      </c>
      <c r="F146" s="3">
        <f t="shared" si="17"/>
        <v>157.6</v>
      </c>
      <c r="G146" s="1">
        <v>78.66</v>
      </c>
      <c r="H146" s="16">
        <f t="shared" si="16"/>
        <v>78.744</v>
      </c>
    </row>
    <row r="147" spans="1:8" ht="13.5">
      <c r="A147" s="4">
        <v>145</v>
      </c>
      <c r="B147" s="6" t="s">
        <v>8</v>
      </c>
      <c r="C147" s="6" t="str">
        <f>"2020023518"</f>
        <v>2020023518</v>
      </c>
      <c r="D147" s="1">
        <v>75.6</v>
      </c>
      <c r="E147" s="2">
        <v>77.5</v>
      </c>
      <c r="F147" s="3">
        <f t="shared" si="17"/>
        <v>153.1</v>
      </c>
      <c r="G147" s="1">
        <v>79.7</v>
      </c>
      <c r="H147" s="16">
        <f t="shared" si="16"/>
        <v>77.81</v>
      </c>
    </row>
    <row r="148" spans="1:8" ht="13.5">
      <c r="A148" s="4">
        <v>146</v>
      </c>
      <c r="B148" s="6" t="s">
        <v>8</v>
      </c>
      <c r="C148" s="6" t="str">
        <f>"2020021321"</f>
        <v>2020021321</v>
      </c>
      <c r="D148" s="1">
        <v>79.1</v>
      </c>
      <c r="E148" s="2">
        <v>79.5</v>
      </c>
      <c r="F148" s="3">
        <f t="shared" si="17"/>
        <v>158.6</v>
      </c>
      <c r="G148" s="1">
        <v>75.5</v>
      </c>
      <c r="H148" s="16">
        <f t="shared" si="16"/>
        <v>77.78</v>
      </c>
    </row>
    <row r="149" spans="1:8" ht="13.5">
      <c r="A149" s="4">
        <v>147</v>
      </c>
      <c r="B149" s="6" t="s">
        <v>8</v>
      </c>
      <c r="C149" s="6" t="str">
        <f>"2020011017"</f>
        <v>2020011017</v>
      </c>
      <c r="D149" s="1">
        <v>71.6</v>
      </c>
      <c r="E149" s="2">
        <v>85.5</v>
      </c>
      <c r="F149" s="3">
        <f t="shared" si="17"/>
        <v>157.1</v>
      </c>
      <c r="G149" s="9">
        <v>75.86</v>
      </c>
      <c r="H149" s="16">
        <f t="shared" si="16"/>
        <v>77.47399999999999</v>
      </c>
    </row>
    <row r="150" spans="1:8" ht="13.5">
      <c r="A150" s="4">
        <v>148</v>
      </c>
      <c r="B150" s="6" t="s">
        <v>8</v>
      </c>
      <c r="C150" s="6" t="s">
        <v>185</v>
      </c>
      <c r="D150" s="1">
        <v>75.1</v>
      </c>
      <c r="E150" s="2">
        <v>76.5</v>
      </c>
      <c r="F150" s="7">
        <v>151.6</v>
      </c>
      <c r="G150" s="1">
        <v>74.68</v>
      </c>
      <c r="H150" s="16">
        <f t="shared" si="16"/>
        <v>75.352</v>
      </c>
    </row>
    <row r="151" spans="1:8" ht="15.75">
      <c r="A151" s="4">
        <v>149</v>
      </c>
      <c r="B151" s="6" t="s">
        <v>8</v>
      </c>
      <c r="C151" s="6" t="str">
        <f>"2020031224"</f>
        <v>2020031224</v>
      </c>
      <c r="D151" s="1">
        <v>71.9</v>
      </c>
      <c r="E151" s="2">
        <v>83</v>
      </c>
      <c r="F151" s="3">
        <f aca="true" t="shared" si="18" ref="F151:F159">D151+E151</f>
        <v>154.9</v>
      </c>
      <c r="G151" s="10" t="s">
        <v>232</v>
      </c>
      <c r="H151" s="16">
        <f>F151/2*0.6</f>
        <v>46.47</v>
      </c>
    </row>
    <row r="152" spans="1:8" ht="13.5">
      <c r="A152" s="4">
        <v>150</v>
      </c>
      <c r="B152" s="6" t="s">
        <v>50</v>
      </c>
      <c r="C152" s="6" t="str">
        <f>"2020020406"</f>
        <v>2020020406</v>
      </c>
      <c r="D152" s="1">
        <v>66.4</v>
      </c>
      <c r="E152" s="2">
        <v>80.5</v>
      </c>
      <c r="F152" s="3">
        <f t="shared" si="18"/>
        <v>146.9</v>
      </c>
      <c r="G152" s="1">
        <v>77.4</v>
      </c>
      <c r="H152" s="16">
        <f aca="true" t="shared" si="19" ref="H152:H161">F152*0.5*0.6+G152*0.4</f>
        <v>75.03</v>
      </c>
    </row>
    <row r="153" spans="1:8" ht="13.5">
      <c r="A153" s="4">
        <v>151</v>
      </c>
      <c r="B153" s="6" t="s">
        <v>50</v>
      </c>
      <c r="C153" s="6" t="str">
        <f>"2020041803"</f>
        <v>2020041803</v>
      </c>
      <c r="D153" s="1">
        <v>74</v>
      </c>
      <c r="E153" s="2">
        <v>77.5</v>
      </c>
      <c r="F153" s="3">
        <f t="shared" si="18"/>
        <v>151.5</v>
      </c>
      <c r="G153" s="1">
        <v>73.4</v>
      </c>
      <c r="H153" s="16">
        <f t="shared" si="19"/>
        <v>74.81</v>
      </c>
    </row>
    <row r="154" spans="1:8" ht="13.5">
      <c r="A154" s="4">
        <v>152</v>
      </c>
      <c r="B154" s="6" t="s">
        <v>50</v>
      </c>
      <c r="C154" s="6" t="str">
        <f>"2020031403"</f>
        <v>2020031403</v>
      </c>
      <c r="D154" s="1">
        <v>65.9</v>
      </c>
      <c r="E154" s="2">
        <v>81</v>
      </c>
      <c r="F154" s="3">
        <f t="shared" si="18"/>
        <v>146.9</v>
      </c>
      <c r="G154" s="1">
        <v>76.6</v>
      </c>
      <c r="H154" s="16">
        <f t="shared" si="19"/>
        <v>74.71000000000001</v>
      </c>
    </row>
    <row r="155" spans="1:8" ht="13.5">
      <c r="A155" s="4">
        <v>153</v>
      </c>
      <c r="B155" s="6" t="s">
        <v>50</v>
      </c>
      <c r="C155" s="6" t="str">
        <f>"2020020607"</f>
        <v>2020020607</v>
      </c>
      <c r="D155" s="1">
        <v>68</v>
      </c>
      <c r="E155" s="2">
        <v>79</v>
      </c>
      <c r="F155" s="3">
        <f t="shared" si="18"/>
        <v>147</v>
      </c>
      <c r="G155" s="1">
        <v>73.4</v>
      </c>
      <c r="H155" s="16">
        <f t="shared" si="19"/>
        <v>73.46000000000001</v>
      </c>
    </row>
    <row r="156" spans="1:8" ht="13.5">
      <c r="A156" s="4">
        <v>154</v>
      </c>
      <c r="B156" s="6" t="s">
        <v>50</v>
      </c>
      <c r="C156" s="6" t="str">
        <f>"2020046225"</f>
        <v>2020046225</v>
      </c>
      <c r="D156" s="1">
        <v>62.2</v>
      </c>
      <c r="E156" s="2">
        <v>79</v>
      </c>
      <c r="F156" s="3">
        <f t="shared" si="18"/>
        <v>141.2</v>
      </c>
      <c r="G156" s="1">
        <v>72.6</v>
      </c>
      <c r="H156" s="16">
        <f t="shared" si="19"/>
        <v>71.39999999999999</v>
      </c>
    </row>
    <row r="157" spans="1:8" ht="13.5">
      <c r="A157" s="4">
        <v>155</v>
      </c>
      <c r="B157" s="6" t="s">
        <v>50</v>
      </c>
      <c r="C157" s="6" t="str">
        <f>"2020045427"</f>
        <v>2020045427</v>
      </c>
      <c r="D157" s="1">
        <v>63.6</v>
      </c>
      <c r="E157" s="2">
        <v>72.5</v>
      </c>
      <c r="F157" s="3">
        <f t="shared" si="18"/>
        <v>136.1</v>
      </c>
      <c r="G157" s="1">
        <v>76.4</v>
      </c>
      <c r="H157" s="16">
        <f t="shared" si="19"/>
        <v>71.39</v>
      </c>
    </row>
    <row r="158" spans="1:8" ht="13.5">
      <c r="A158" s="4">
        <v>156</v>
      </c>
      <c r="B158" s="6" t="s">
        <v>50</v>
      </c>
      <c r="C158" s="6" t="str">
        <f>"2020031125"</f>
        <v>2020031125</v>
      </c>
      <c r="D158" s="1">
        <v>65.6</v>
      </c>
      <c r="E158" s="2">
        <v>75</v>
      </c>
      <c r="F158" s="3">
        <f t="shared" si="18"/>
        <v>140.6</v>
      </c>
      <c r="G158" s="1">
        <v>71.2</v>
      </c>
      <c r="H158" s="16">
        <f t="shared" si="19"/>
        <v>70.66</v>
      </c>
    </row>
    <row r="159" spans="1:8" ht="13.5">
      <c r="A159" s="4">
        <v>157</v>
      </c>
      <c r="B159" s="6" t="s">
        <v>50</v>
      </c>
      <c r="C159" s="6" t="str">
        <f>"2020013529"</f>
        <v>2020013529</v>
      </c>
      <c r="D159" s="1">
        <v>71.8</v>
      </c>
      <c r="E159" s="2">
        <v>70</v>
      </c>
      <c r="F159" s="3">
        <f t="shared" si="18"/>
        <v>141.8</v>
      </c>
      <c r="G159" s="9">
        <v>69.8</v>
      </c>
      <c r="H159" s="16">
        <f t="shared" si="19"/>
        <v>70.46000000000001</v>
      </c>
    </row>
    <row r="160" spans="1:8" ht="13.5">
      <c r="A160" s="4">
        <v>158</v>
      </c>
      <c r="B160" s="6" t="s">
        <v>50</v>
      </c>
      <c r="C160" s="6" t="s">
        <v>188</v>
      </c>
      <c r="D160" s="1">
        <v>60.9</v>
      </c>
      <c r="E160" s="2">
        <v>66.5</v>
      </c>
      <c r="F160" s="7">
        <v>127.4</v>
      </c>
      <c r="G160" s="1">
        <v>72.8</v>
      </c>
      <c r="H160" s="16">
        <f t="shared" si="19"/>
        <v>67.34</v>
      </c>
    </row>
    <row r="161" spans="1:8" ht="13.5">
      <c r="A161" s="4">
        <v>159</v>
      </c>
      <c r="B161" s="6" t="s">
        <v>50</v>
      </c>
      <c r="C161" s="6" t="s">
        <v>187</v>
      </c>
      <c r="D161" s="1">
        <v>64.9</v>
      </c>
      <c r="E161" s="2">
        <v>63.5</v>
      </c>
      <c r="F161" s="7">
        <v>128.4</v>
      </c>
      <c r="G161" s="1">
        <v>67.6</v>
      </c>
      <c r="H161" s="16">
        <f t="shared" si="19"/>
        <v>65.56</v>
      </c>
    </row>
    <row r="162" spans="1:8" ht="15.75">
      <c r="A162" s="4">
        <v>160</v>
      </c>
      <c r="B162" s="6" t="s">
        <v>50</v>
      </c>
      <c r="C162" s="6" t="str">
        <f>"2020047211"</f>
        <v>2020047211</v>
      </c>
      <c r="D162" s="1">
        <v>69.2</v>
      </c>
      <c r="E162" s="2">
        <v>71</v>
      </c>
      <c r="F162" s="3">
        <f>D162+E162</f>
        <v>140.2</v>
      </c>
      <c r="G162" s="10" t="s">
        <v>232</v>
      </c>
      <c r="H162" s="16">
        <f>F162/2*0.6</f>
        <v>42.059999999999995</v>
      </c>
    </row>
    <row r="163" spans="1:8" ht="15.75">
      <c r="A163" s="4">
        <v>161</v>
      </c>
      <c r="B163" s="6" t="s">
        <v>50</v>
      </c>
      <c r="C163" s="6" t="s">
        <v>186</v>
      </c>
      <c r="D163" s="1">
        <v>72</v>
      </c>
      <c r="E163" s="2">
        <v>58</v>
      </c>
      <c r="F163" s="7">
        <v>130</v>
      </c>
      <c r="G163" s="8" t="s">
        <v>232</v>
      </c>
      <c r="H163" s="16">
        <v>39</v>
      </c>
    </row>
    <row r="164" spans="1:8" ht="13.5">
      <c r="A164" s="4">
        <v>162</v>
      </c>
      <c r="B164" s="6" t="s">
        <v>107</v>
      </c>
      <c r="C164" s="6" t="str">
        <f>"2020031811"</f>
        <v>2020031811</v>
      </c>
      <c r="D164" s="1">
        <v>64.9</v>
      </c>
      <c r="E164" s="2">
        <v>82</v>
      </c>
      <c r="F164" s="3">
        <f aca="true" t="shared" si="20" ref="F164:F172">D164+E164</f>
        <v>146.9</v>
      </c>
      <c r="G164" s="1">
        <v>79.4</v>
      </c>
      <c r="H164" s="16">
        <f aca="true" t="shared" si="21" ref="H164:H171">F164*0.5*0.6+G164*0.4</f>
        <v>75.83000000000001</v>
      </c>
    </row>
    <row r="165" spans="1:8" ht="13.5">
      <c r="A165" s="4">
        <v>163</v>
      </c>
      <c r="B165" s="6" t="s">
        <v>107</v>
      </c>
      <c r="C165" s="6" t="str">
        <f>"2020041719"</f>
        <v>2020041719</v>
      </c>
      <c r="D165" s="1">
        <v>73.5</v>
      </c>
      <c r="E165" s="2">
        <v>70</v>
      </c>
      <c r="F165" s="3">
        <f t="shared" si="20"/>
        <v>143.5</v>
      </c>
      <c r="G165" s="1">
        <v>79.2</v>
      </c>
      <c r="H165" s="16">
        <f t="shared" si="21"/>
        <v>74.73</v>
      </c>
    </row>
    <row r="166" spans="1:8" ht="13.5">
      <c r="A166" s="4">
        <v>164</v>
      </c>
      <c r="B166" s="6" t="s">
        <v>107</v>
      </c>
      <c r="C166" s="6" t="str">
        <f>"2020044720"</f>
        <v>2020044720</v>
      </c>
      <c r="D166" s="1">
        <v>68.8</v>
      </c>
      <c r="E166" s="2">
        <v>76.5</v>
      </c>
      <c r="F166" s="3">
        <f t="shared" si="20"/>
        <v>145.3</v>
      </c>
      <c r="G166" s="1">
        <v>73.8</v>
      </c>
      <c r="H166" s="16">
        <f t="shared" si="21"/>
        <v>73.11</v>
      </c>
    </row>
    <row r="167" spans="1:8" ht="13.5">
      <c r="A167" s="4">
        <v>165</v>
      </c>
      <c r="B167" s="6" t="s">
        <v>107</v>
      </c>
      <c r="C167" s="6" t="str">
        <f>"2020043321"</f>
        <v>2020043321</v>
      </c>
      <c r="D167" s="1">
        <v>74.6</v>
      </c>
      <c r="E167" s="2">
        <v>68.5</v>
      </c>
      <c r="F167" s="3">
        <f t="shared" si="20"/>
        <v>143.1</v>
      </c>
      <c r="G167" s="1">
        <v>74.4</v>
      </c>
      <c r="H167" s="16">
        <f t="shared" si="21"/>
        <v>72.69</v>
      </c>
    </row>
    <row r="168" spans="1:8" ht="13.5">
      <c r="A168" s="4">
        <v>166</v>
      </c>
      <c r="B168" s="6" t="s">
        <v>107</v>
      </c>
      <c r="C168" s="6" t="str">
        <f>"2020011519"</f>
        <v>2020011519</v>
      </c>
      <c r="D168" s="1">
        <v>78.4</v>
      </c>
      <c r="E168" s="2">
        <v>63.5</v>
      </c>
      <c r="F168" s="3">
        <f t="shared" si="20"/>
        <v>141.9</v>
      </c>
      <c r="G168" s="1">
        <v>69.4</v>
      </c>
      <c r="H168" s="16">
        <f t="shared" si="21"/>
        <v>70.33000000000001</v>
      </c>
    </row>
    <row r="169" spans="1:8" ht="13.5">
      <c r="A169" s="4">
        <v>167</v>
      </c>
      <c r="B169" s="6" t="s">
        <v>91</v>
      </c>
      <c r="C169" s="6" t="str">
        <f>"2020042304"</f>
        <v>2020042304</v>
      </c>
      <c r="D169" s="1">
        <v>74.8</v>
      </c>
      <c r="E169" s="2">
        <v>78.5</v>
      </c>
      <c r="F169" s="3">
        <f t="shared" si="20"/>
        <v>153.3</v>
      </c>
      <c r="G169" s="1">
        <v>73.2</v>
      </c>
      <c r="H169" s="16">
        <f t="shared" si="21"/>
        <v>75.27000000000001</v>
      </c>
    </row>
    <row r="170" spans="1:8" ht="13.5">
      <c r="A170" s="4">
        <v>168</v>
      </c>
      <c r="B170" s="6" t="s">
        <v>91</v>
      </c>
      <c r="C170" s="6" t="str">
        <f>"2020033028"</f>
        <v>2020033028</v>
      </c>
      <c r="D170" s="1">
        <v>65.4</v>
      </c>
      <c r="E170" s="2">
        <v>76</v>
      </c>
      <c r="F170" s="3">
        <f t="shared" si="20"/>
        <v>141.4</v>
      </c>
      <c r="G170" s="1">
        <v>66.4</v>
      </c>
      <c r="H170" s="16">
        <f t="shared" si="21"/>
        <v>68.98</v>
      </c>
    </row>
    <row r="171" spans="1:8" ht="13.5">
      <c r="A171" s="4">
        <v>169</v>
      </c>
      <c r="B171" s="6" t="s">
        <v>6</v>
      </c>
      <c r="C171" s="6" t="str">
        <f>"2020040415"</f>
        <v>2020040415</v>
      </c>
      <c r="D171" s="1">
        <v>76.9</v>
      </c>
      <c r="E171" s="2">
        <v>82</v>
      </c>
      <c r="F171" s="3">
        <f t="shared" si="20"/>
        <v>158.9</v>
      </c>
      <c r="G171" s="1">
        <v>73.6</v>
      </c>
      <c r="H171" s="16">
        <f t="shared" si="21"/>
        <v>77.11</v>
      </c>
    </row>
    <row r="172" spans="1:8" ht="15.75">
      <c r="A172" s="4">
        <v>170</v>
      </c>
      <c r="B172" s="6" t="s">
        <v>6</v>
      </c>
      <c r="C172" s="6" t="str">
        <f>"2020044110"</f>
        <v>2020044110</v>
      </c>
      <c r="D172" s="1">
        <v>74.4</v>
      </c>
      <c r="E172" s="2">
        <v>81</v>
      </c>
      <c r="F172" s="3">
        <f t="shared" si="20"/>
        <v>155.4</v>
      </c>
      <c r="G172" s="8" t="s">
        <v>232</v>
      </c>
      <c r="H172" s="16">
        <f>F172/2*0.6</f>
        <v>46.62</v>
      </c>
    </row>
    <row r="173" spans="1:8" ht="15.75">
      <c r="A173" s="4">
        <v>171</v>
      </c>
      <c r="B173" s="6" t="s">
        <v>6</v>
      </c>
      <c r="C173" s="6" t="s">
        <v>189</v>
      </c>
      <c r="D173" s="1">
        <v>72.7</v>
      </c>
      <c r="E173" s="2">
        <v>82.5</v>
      </c>
      <c r="F173" s="7">
        <v>155.2</v>
      </c>
      <c r="G173" s="8" t="s">
        <v>232</v>
      </c>
      <c r="H173" s="16">
        <f>F173/2*0.6</f>
        <v>46.559999999999995</v>
      </c>
    </row>
    <row r="174" spans="1:8" ht="13.5">
      <c r="A174" s="4">
        <v>172</v>
      </c>
      <c r="B174" s="6" t="s">
        <v>40</v>
      </c>
      <c r="C174" s="6" t="str">
        <f>"2020023218"</f>
        <v>2020023218</v>
      </c>
      <c r="D174" s="1">
        <v>62.1</v>
      </c>
      <c r="E174" s="2">
        <v>69.5</v>
      </c>
      <c r="F174" s="3">
        <f>D174+E174</f>
        <v>131.6</v>
      </c>
      <c r="G174" s="1">
        <v>75.2</v>
      </c>
      <c r="H174" s="16">
        <f>F174*0.5*0.6+G174*0.4</f>
        <v>69.56</v>
      </c>
    </row>
    <row r="175" spans="1:8" ht="13.5">
      <c r="A175" s="4">
        <v>173</v>
      </c>
      <c r="B175" s="6" t="s">
        <v>40</v>
      </c>
      <c r="C175" s="6" t="str">
        <f>"2020013813"</f>
        <v>2020013813</v>
      </c>
      <c r="D175" s="1">
        <v>69.6</v>
      </c>
      <c r="E175" s="2">
        <v>59.5</v>
      </c>
      <c r="F175" s="3">
        <f>D175+E175</f>
        <v>129.1</v>
      </c>
      <c r="G175" s="1">
        <v>68.6</v>
      </c>
      <c r="H175" s="16">
        <f>F175*0.5*0.6+G175*0.4</f>
        <v>66.16999999999999</v>
      </c>
    </row>
    <row r="176" spans="1:8" ht="13.5">
      <c r="A176" s="4">
        <v>174</v>
      </c>
      <c r="B176" s="6" t="s">
        <v>124</v>
      </c>
      <c r="C176" s="6" t="str">
        <f>"2020024625"</f>
        <v>2020024625</v>
      </c>
      <c r="D176" s="1">
        <v>73.9</v>
      </c>
      <c r="E176" s="2">
        <v>87</v>
      </c>
      <c r="F176" s="3">
        <f>D176+E176</f>
        <v>160.9</v>
      </c>
      <c r="G176" s="1">
        <v>71.8</v>
      </c>
      <c r="H176" s="16">
        <f>F176*0.5*0.6+G176*0.4</f>
        <v>76.99000000000001</v>
      </c>
    </row>
    <row r="177" spans="1:8" ht="13.5">
      <c r="A177" s="4">
        <v>175</v>
      </c>
      <c r="B177" s="6" t="s">
        <v>124</v>
      </c>
      <c r="C177" s="6" t="s">
        <v>190</v>
      </c>
      <c r="D177" s="1">
        <v>60</v>
      </c>
      <c r="E177" s="2">
        <v>77.5</v>
      </c>
      <c r="F177" s="7">
        <v>137.5</v>
      </c>
      <c r="G177" s="1">
        <v>74.4</v>
      </c>
      <c r="H177" s="16">
        <f>F177*0.5*0.6+G177*0.4</f>
        <v>71.01</v>
      </c>
    </row>
    <row r="178" spans="1:8" ht="13.5">
      <c r="A178" s="4">
        <v>176</v>
      </c>
      <c r="B178" s="6" t="s">
        <v>118</v>
      </c>
      <c r="C178" s="6" t="str">
        <f>"2020033228"</f>
        <v>2020033228</v>
      </c>
      <c r="D178" s="1">
        <v>69.6</v>
      </c>
      <c r="E178" s="2">
        <v>77.5</v>
      </c>
      <c r="F178" s="3">
        <f aca="true" t="shared" si="22" ref="F178:F189">D178+E178</f>
        <v>147.1</v>
      </c>
      <c r="G178" s="9">
        <v>75.4</v>
      </c>
      <c r="H178" s="16">
        <f>F178*0.5*0.6+G178*0.4</f>
        <v>74.28999999999999</v>
      </c>
    </row>
    <row r="179" spans="1:8" ht="15.75">
      <c r="A179" s="4">
        <v>177</v>
      </c>
      <c r="B179" s="6" t="s">
        <v>118</v>
      </c>
      <c r="C179" s="6" t="str">
        <f>"2020013520"</f>
        <v>2020013520</v>
      </c>
      <c r="D179" s="1">
        <v>78.6</v>
      </c>
      <c r="E179" s="2">
        <v>71.5</v>
      </c>
      <c r="F179" s="3">
        <f t="shared" si="22"/>
        <v>150.1</v>
      </c>
      <c r="G179" s="10" t="s">
        <v>232</v>
      </c>
      <c r="H179" s="16">
        <f>F179/2*0.6</f>
        <v>45.029999999999994</v>
      </c>
    </row>
    <row r="180" spans="1:8" ht="13.5">
      <c r="A180" s="4">
        <v>178</v>
      </c>
      <c r="B180" s="6" t="s">
        <v>122</v>
      </c>
      <c r="C180" s="6" t="str">
        <f>"2020023919"</f>
        <v>2020023919</v>
      </c>
      <c r="D180" s="1">
        <v>64.8</v>
      </c>
      <c r="E180" s="2">
        <v>73</v>
      </c>
      <c r="F180" s="3">
        <f t="shared" si="22"/>
        <v>137.8</v>
      </c>
      <c r="G180" s="1">
        <v>75.3</v>
      </c>
      <c r="H180" s="16">
        <f aca="true" t="shared" si="23" ref="H180:H185">F180*0.5*0.6+G180*0.4</f>
        <v>71.46000000000001</v>
      </c>
    </row>
    <row r="181" spans="1:8" ht="13.5">
      <c r="A181" s="4">
        <v>179</v>
      </c>
      <c r="B181" s="6" t="s">
        <v>122</v>
      </c>
      <c r="C181" s="6" t="str">
        <f>"2020021203"</f>
        <v>2020021203</v>
      </c>
      <c r="D181" s="1">
        <v>70.5</v>
      </c>
      <c r="E181" s="2">
        <v>68.5</v>
      </c>
      <c r="F181" s="3">
        <f t="shared" si="22"/>
        <v>139</v>
      </c>
      <c r="G181" s="1">
        <v>71.3</v>
      </c>
      <c r="H181" s="16">
        <f t="shared" si="23"/>
        <v>70.22</v>
      </c>
    </row>
    <row r="182" spans="1:8" ht="13.5">
      <c r="A182" s="4">
        <v>180</v>
      </c>
      <c r="B182" s="6" t="s">
        <v>122</v>
      </c>
      <c r="C182" s="6" t="str">
        <f>"2020043516"</f>
        <v>2020043516</v>
      </c>
      <c r="D182" s="1">
        <v>64.2</v>
      </c>
      <c r="E182" s="2">
        <v>75.5</v>
      </c>
      <c r="F182" s="3">
        <f t="shared" si="22"/>
        <v>139.7</v>
      </c>
      <c r="G182" s="1">
        <v>69.4</v>
      </c>
      <c r="H182" s="16">
        <f t="shared" si="23"/>
        <v>69.67</v>
      </c>
    </row>
    <row r="183" spans="1:8" ht="13.5">
      <c r="A183" s="4">
        <v>181</v>
      </c>
      <c r="B183" s="6" t="s">
        <v>153</v>
      </c>
      <c r="C183" s="6" t="str">
        <f>"2020033501"</f>
        <v>2020033501</v>
      </c>
      <c r="D183" s="1">
        <v>65.7</v>
      </c>
      <c r="E183" s="2">
        <v>82</v>
      </c>
      <c r="F183" s="3">
        <f t="shared" si="22"/>
        <v>147.7</v>
      </c>
      <c r="G183" s="9">
        <v>73</v>
      </c>
      <c r="H183" s="16">
        <f t="shared" si="23"/>
        <v>73.50999999999999</v>
      </c>
    </row>
    <row r="184" spans="1:8" ht="13.5">
      <c r="A184" s="4">
        <v>182</v>
      </c>
      <c r="B184" s="6" t="s">
        <v>153</v>
      </c>
      <c r="C184" s="6" t="str">
        <f>"2020010526"</f>
        <v>2020010526</v>
      </c>
      <c r="D184" s="1">
        <v>71.5</v>
      </c>
      <c r="E184" s="2">
        <v>65.5</v>
      </c>
      <c r="F184" s="3">
        <f t="shared" si="22"/>
        <v>137</v>
      </c>
      <c r="G184" s="1">
        <v>70.2</v>
      </c>
      <c r="H184" s="16">
        <f t="shared" si="23"/>
        <v>69.18</v>
      </c>
    </row>
    <row r="185" spans="1:8" ht="13.5">
      <c r="A185" s="4">
        <v>183</v>
      </c>
      <c r="B185" s="6" t="s">
        <v>153</v>
      </c>
      <c r="C185" s="6" t="str">
        <f>"2020010905"</f>
        <v>2020010905</v>
      </c>
      <c r="D185" s="1">
        <v>64.6</v>
      </c>
      <c r="E185" s="2">
        <v>60</v>
      </c>
      <c r="F185" s="3">
        <f t="shared" si="22"/>
        <v>124.6</v>
      </c>
      <c r="G185" s="1">
        <v>71.3</v>
      </c>
      <c r="H185" s="16">
        <f t="shared" si="23"/>
        <v>65.89999999999999</v>
      </c>
    </row>
    <row r="186" spans="1:8" ht="15.75">
      <c r="A186" s="4">
        <v>184</v>
      </c>
      <c r="B186" s="6" t="s">
        <v>153</v>
      </c>
      <c r="C186" s="6" t="str">
        <f>"2020012530"</f>
        <v>2020012530</v>
      </c>
      <c r="D186" s="1">
        <v>71.9</v>
      </c>
      <c r="E186" s="2">
        <v>85.5</v>
      </c>
      <c r="F186" s="3">
        <f t="shared" si="22"/>
        <v>157.4</v>
      </c>
      <c r="G186" s="10" t="s">
        <v>232</v>
      </c>
      <c r="H186" s="16">
        <f>F186/2*0.6</f>
        <v>47.22</v>
      </c>
    </row>
    <row r="187" spans="1:8" ht="13.5">
      <c r="A187" s="4">
        <v>185</v>
      </c>
      <c r="B187" s="6" t="s">
        <v>45</v>
      </c>
      <c r="C187" s="6" t="str">
        <f>"2020021923"</f>
        <v>2020021923</v>
      </c>
      <c r="D187" s="1">
        <v>67.5</v>
      </c>
      <c r="E187" s="2">
        <v>75.5</v>
      </c>
      <c r="F187" s="3">
        <f t="shared" si="22"/>
        <v>143</v>
      </c>
      <c r="G187" s="1">
        <v>75</v>
      </c>
      <c r="H187" s="16">
        <f aca="true" t="shared" si="24" ref="H187:H213">F187*0.5*0.6+G187*0.4</f>
        <v>72.9</v>
      </c>
    </row>
    <row r="188" spans="1:8" ht="13.5">
      <c r="A188" s="4">
        <v>186</v>
      </c>
      <c r="B188" s="6" t="s">
        <v>45</v>
      </c>
      <c r="C188" s="6" t="str">
        <f>"2020044407"</f>
        <v>2020044407</v>
      </c>
      <c r="D188" s="1">
        <v>67.9</v>
      </c>
      <c r="E188" s="2">
        <v>74</v>
      </c>
      <c r="F188" s="3">
        <f t="shared" si="22"/>
        <v>141.9</v>
      </c>
      <c r="G188" s="1">
        <v>73.4</v>
      </c>
      <c r="H188" s="16">
        <f t="shared" si="24"/>
        <v>71.93</v>
      </c>
    </row>
    <row r="189" spans="1:8" ht="13.5">
      <c r="A189" s="4">
        <v>187</v>
      </c>
      <c r="B189" s="6" t="s">
        <v>45</v>
      </c>
      <c r="C189" s="6" t="str">
        <f>"2020022909"</f>
        <v>2020022909</v>
      </c>
      <c r="D189" s="1">
        <v>63.5</v>
      </c>
      <c r="E189" s="2">
        <v>69</v>
      </c>
      <c r="F189" s="3">
        <f t="shared" si="22"/>
        <v>132.5</v>
      </c>
      <c r="G189" s="1">
        <v>75.6</v>
      </c>
      <c r="H189" s="16">
        <f t="shared" si="24"/>
        <v>69.99</v>
      </c>
    </row>
    <row r="190" spans="1:8" ht="13.5">
      <c r="A190" s="4">
        <v>188</v>
      </c>
      <c r="B190" s="6" t="s">
        <v>45</v>
      </c>
      <c r="C190" s="6" t="s">
        <v>191</v>
      </c>
      <c r="D190" s="1">
        <v>69</v>
      </c>
      <c r="E190" s="2">
        <v>58</v>
      </c>
      <c r="F190" s="7">
        <v>127</v>
      </c>
      <c r="G190" s="1">
        <v>79</v>
      </c>
      <c r="H190" s="16">
        <f t="shared" si="24"/>
        <v>69.7</v>
      </c>
    </row>
    <row r="191" spans="1:8" ht="13.5">
      <c r="A191" s="4">
        <v>189</v>
      </c>
      <c r="B191" s="6" t="s">
        <v>45</v>
      </c>
      <c r="C191" s="6" t="s">
        <v>192</v>
      </c>
      <c r="D191" s="1">
        <v>72.6</v>
      </c>
      <c r="E191" s="2">
        <v>53.5</v>
      </c>
      <c r="F191" s="7">
        <v>126.1</v>
      </c>
      <c r="G191" s="1">
        <v>78</v>
      </c>
      <c r="H191" s="16">
        <f t="shared" si="24"/>
        <v>69.03</v>
      </c>
    </row>
    <row r="192" spans="1:8" ht="13.5">
      <c r="A192" s="4">
        <v>190</v>
      </c>
      <c r="B192" s="6" t="s">
        <v>45</v>
      </c>
      <c r="C192" s="6" t="str">
        <f>"2020023304"</f>
        <v>2020023304</v>
      </c>
      <c r="D192" s="1">
        <v>68.4</v>
      </c>
      <c r="E192" s="2">
        <v>62</v>
      </c>
      <c r="F192" s="3">
        <f>D192+E192</f>
        <v>130.4</v>
      </c>
      <c r="G192" s="1">
        <v>29.8</v>
      </c>
      <c r="H192" s="16">
        <f t="shared" si="24"/>
        <v>51.04</v>
      </c>
    </row>
    <row r="193" spans="1:8" ht="13.5">
      <c r="A193" s="4">
        <v>191</v>
      </c>
      <c r="B193" s="6" t="s">
        <v>154</v>
      </c>
      <c r="C193" s="6" t="str">
        <f>"2020024323"</f>
        <v>2020024323</v>
      </c>
      <c r="D193" s="1">
        <v>80.7</v>
      </c>
      <c r="E193" s="2">
        <v>72</v>
      </c>
      <c r="F193" s="3">
        <f>D193+E193</f>
        <v>152.7</v>
      </c>
      <c r="G193" s="1">
        <v>74.5</v>
      </c>
      <c r="H193" s="16">
        <f t="shared" si="24"/>
        <v>75.61</v>
      </c>
    </row>
    <row r="194" spans="1:8" ht="13.5">
      <c r="A194" s="4">
        <v>192</v>
      </c>
      <c r="B194" s="6" t="s">
        <v>154</v>
      </c>
      <c r="C194" s="6" t="str">
        <f>"2020042227"</f>
        <v>2020042227</v>
      </c>
      <c r="D194" s="1">
        <v>75</v>
      </c>
      <c r="E194" s="2">
        <v>71.5</v>
      </c>
      <c r="F194" s="3">
        <f>D194+E194</f>
        <v>146.5</v>
      </c>
      <c r="G194" s="1">
        <v>73.1</v>
      </c>
      <c r="H194" s="16">
        <f t="shared" si="24"/>
        <v>73.19</v>
      </c>
    </row>
    <row r="195" spans="1:8" ht="13.5">
      <c r="A195" s="4">
        <v>193</v>
      </c>
      <c r="B195" s="6" t="s">
        <v>154</v>
      </c>
      <c r="C195" s="6" t="str">
        <f>"2020012324"</f>
        <v>2020012324</v>
      </c>
      <c r="D195" s="1">
        <v>70.6</v>
      </c>
      <c r="E195" s="2">
        <v>71.5</v>
      </c>
      <c r="F195" s="3">
        <f>D195+E195</f>
        <v>142.1</v>
      </c>
      <c r="G195" s="1">
        <v>74.2</v>
      </c>
      <c r="H195" s="16">
        <f t="shared" si="24"/>
        <v>72.31</v>
      </c>
    </row>
    <row r="196" spans="1:8" ht="13.5">
      <c r="A196" s="4">
        <v>194</v>
      </c>
      <c r="B196" s="6" t="s">
        <v>75</v>
      </c>
      <c r="C196" s="6" t="str">
        <f>"2020043414"</f>
        <v>2020043414</v>
      </c>
      <c r="D196" s="1">
        <v>75.4</v>
      </c>
      <c r="E196" s="2">
        <v>85</v>
      </c>
      <c r="F196" s="3">
        <f>D196+E196</f>
        <v>160.4</v>
      </c>
      <c r="G196" s="1">
        <v>74.3</v>
      </c>
      <c r="H196" s="16">
        <f t="shared" si="24"/>
        <v>77.84</v>
      </c>
    </row>
    <row r="197" spans="1:8" ht="13.5">
      <c r="A197" s="4">
        <v>195</v>
      </c>
      <c r="B197" s="6" t="s">
        <v>75</v>
      </c>
      <c r="C197" s="6" t="s">
        <v>193</v>
      </c>
      <c r="D197" s="1">
        <v>78.4</v>
      </c>
      <c r="E197" s="2">
        <v>77.5</v>
      </c>
      <c r="F197" s="7">
        <v>155.9</v>
      </c>
      <c r="G197" s="1">
        <v>77.4</v>
      </c>
      <c r="H197" s="16">
        <f t="shared" si="24"/>
        <v>77.73</v>
      </c>
    </row>
    <row r="198" spans="1:8" ht="13.5">
      <c r="A198" s="4">
        <v>196</v>
      </c>
      <c r="B198" s="6" t="s">
        <v>75</v>
      </c>
      <c r="C198" s="6" t="str">
        <f>"2020023624"</f>
        <v>2020023624</v>
      </c>
      <c r="D198" s="1">
        <v>77.3</v>
      </c>
      <c r="E198" s="2">
        <v>80.5</v>
      </c>
      <c r="F198" s="3">
        <f aca="true" t="shared" si="25" ref="F198:F220">D198+E198</f>
        <v>157.8</v>
      </c>
      <c r="G198" s="1">
        <v>72.3</v>
      </c>
      <c r="H198" s="16">
        <f t="shared" si="24"/>
        <v>76.26</v>
      </c>
    </row>
    <row r="199" spans="1:8" ht="13.5">
      <c r="A199" s="4">
        <v>197</v>
      </c>
      <c r="B199" s="6" t="s">
        <v>142</v>
      </c>
      <c r="C199" s="6" t="str">
        <f>"2020041110"</f>
        <v>2020041110</v>
      </c>
      <c r="D199" s="1">
        <v>66.9</v>
      </c>
      <c r="E199" s="2">
        <v>62.5</v>
      </c>
      <c r="F199" s="3">
        <f t="shared" si="25"/>
        <v>129.4</v>
      </c>
      <c r="G199" s="1">
        <v>77.9</v>
      </c>
      <c r="H199" s="16">
        <f t="shared" si="24"/>
        <v>69.98</v>
      </c>
    </row>
    <row r="200" spans="1:8" ht="13.5">
      <c r="A200" s="4">
        <v>198</v>
      </c>
      <c r="B200" s="6" t="s">
        <v>142</v>
      </c>
      <c r="C200" s="6" t="str">
        <f>"2020010509"</f>
        <v>2020010509</v>
      </c>
      <c r="D200" s="1">
        <v>68.5</v>
      </c>
      <c r="E200" s="2">
        <v>58.5</v>
      </c>
      <c r="F200" s="3">
        <f t="shared" si="25"/>
        <v>127</v>
      </c>
      <c r="G200" s="1">
        <v>76.6</v>
      </c>
      <c r="H200" s="16">
        <f t="shared" si="24"/>
        <v>68.74000000000001</v>
      </c>
    </row>
    <row r="201" spans="1:8" ht="13.5">
      <c r="A201" s="4">
        <v>199</v>
      </c>
      <c r="B201" s="6" t="s">
        <v>13</v>
      </c>
      <c r="C201" s="6" t="str">
        <f>"2020012611"</f>
        <v>2020012611</v>
      </c>
      <c r="D201" s="1">
        <v>64.5</v>
      </c>
      <c r="E201" s="2">
        <v>69</v>
      </c>
      <c r="F201" s="3">
        <f t="shared" si="25"/>
        <v>133.5</v>
      </c>
      <c r="G201" s="1">
        <v>82.7</v>
      </c>
      <c r="H201" s="16">
        <f t="shared" si="24"/>
        <v>73.13</v>
      </c>
    </row>
    <row r="202" spans="1:8" ht="13.5">
      <c r="A202" s="4">
        <v>200</v>
      </c>
      <c r="B202" s="6" t="s">
        <v>13</v>
      </c>
      <c r="C202" s="6" t="str">
        <f>"2020033718"</f>
        <v>2020033718</v>
      </c>
      <c r="D202" s="1">
        <v>65</v>
      </c>
      <c r="E202" s="2">
        <v>68</v>
      </c>
      <c r="F202" s="3">
        <f t="shared" si="25"/>
        <v>133</v>
      </c>
      <c r="G202" s="1">
        <v>79.2</v>
      </c>
      <c r="H202" s="16">
        <f t="shared" si="24"/>
        <v>71.58</v>
      </c>
    </row>
    <row r="203" spans="1:8" ht="13.5">
      <c r="A203" s="4">
        <v>201</v>
      </c>
      <c r="B203" s="6" t="s">
        <v>13</v>
      </c>
      <c r="C203" s="6" t="str">
        <f>"2020033317"</f>
        <v>2020033317</v>
      </c>
      <c r="D203" s="1">
        <v>68.3</v>
      </c>
      <c r="E203" s="2">
        <v>63</v>
      </c>
      <c r="F203" s="3">
        <f t="shared" si="25"/>
        <v>131.3</v>
      </c>
      <c r="G203" s="1">
        <v>77.4</v>
      </c>
      <c r="H203" s="16">
        <f t="shared" si="24"/>
        <v>70.35000000000001</v>
      </c>
    </row>
    <row r="204" spans="1:8" ht="13.5">
      <c r="A204" s="4">
        <v>202</v>
      </c>
      <c r="B204" s="6" t="s">
        <v>13</v>
      </c>
      <c r="C204" s="6" t="str">
        <f>"2020012803"</f>
        <v>2020012803</v>
      </c>
      <c r="D204" s="1">
        <v>65.2</v>
      </c>
      <c r="E204" s="2">
        <v>67</v>
      </c>
      <c r="F204" s="3">
        <f t="shared" si="25"/>
        <v>132.2</v>
      </c>
      <c r="G204" s="1">
        <v>74.4</v>
      </c>
      <c r="H204" s="16">
        <f t="shared" si="24"/>
        <v>69.42</v>
      </c>
    </row>
    <row r="205" spans="1:8" ht="13.5">
      <c r="A205" s="4">
        <v>203</v>
      </c>
      <c r="B205" s="6" t="s">
        <v>13</v>
      </c>
      <c r="C205" s="6" t="str">
        <f>"2020024713"</f>
        <v>2020024713</v>
      </c>
      <c r="D205" s="1">
        <v>68.9</v>
      </c>
      <c r="E205" s="2">
        <v>62</v>
      </c>
      <c r="F205" s="3">
        <f t="shared" si="25"/>
        <v>130.9</v>
      </c>
      <c r="G205" s="1">
        <v>74.1</v>
      </c>
      <c r="H205" s="16">
        <f t="shared" si="24"/>
        <v>68.91</v>
      </c>
    </row>
    <row r="206" spans="1:8" ht="13.5">
      <c r="A206" s="4">
        <v>204</v>
      </c>
      <c r="B206" s="6" t="s">
        <v>13</v>
      </c>
      <c r="C206" s="6" t="str">
        <f>"2020045518"</f>
        <v>2020045518</v>
      </c>
      <c r="D206" s="1">
        <v>69.5</v>
      </c>
      <c r="E206" s="2">
        <v>56</v>
      </c>
      <c r="F206" s="3">
        <f t="shared" si="25"/>
        <v>125.5</v>
      </c>
      <c r="G206" s="1">
        <v>78</v>
      </c>
      <c r="H206" s="16">
        <f t="shared" si="24"/>
        <v>68.85</v>
      </c>
    </row>
    <row r="207" spans="1:8" ht="13.5">
      <c r="A207" s="4">
        <v>205</v>
      </c>
      <c r="B207" s="6" t="s">
        <v>13</v>
      </c>
      <c r="C207" s="6" t="str">
        <f>"2020012707"</f>
        <v>2020012707</v>
      </c>
      <c r="D207" s="1">
        <v>60.7</v>
      </c>
      <c r="E207" s="2">
        <v>68</v>
      </c>
      <c r="F207" s="3">
        <f t="shared" si="25"/>
        <v>128.7</v>
      </c>
      <c r="G207" s="1">
        <v>74.7</v>
      </c>
      <c r="H207" s="16">
        <f t="shared" si="24"/>
        <v>68.49</v>
      </c>
    </row>
    <row r="208" spans="1:8" ht="13.5">
      <c r="A208" s="4">
        <v>206</v>
      </c>
      <c r="B208" s="6" t="s">
        <v>13</v>
      </c>
      <c r="C208" s="6" t="str">
        <f>"2020030415"</f>
        <v>2020030415</v>
      </c>
      <c r="D208" s="1">
        <v>63.3</v>
      </c>
      <c r="E208" s="2">
        <v>66</v>
      </c>
      <c r="F208" s="3">
        <f t="shared" si="25"/>
        <v>129.3</v>
      </c>
      <c r="G208" s="1">
        <v>74.2</v>
      </c>
      <c r="H208" s="16">
        <f t="shared" si="24"/>
        <v>68.47</v>
      </c>
    </row>
    <row r="209" spans="1:8" ht="13.5">
      <c r="A209" s="4">
        <v>207</v>
      </c>
      <c r="B209" s="6" t="s">
        <v>13</v>
      </c>
      <c r="C209" s="6" t="str">
        <f>"2020024711"</f>
        <v>2020024711</v>
      </c>
      <c r="D209" s="1">
        <v>65.4</v>
      </c>
      <c r="E209" s="2">
        <v>64</v>
      </c>
      <c r="F209" s="3">
        <f t="shared" si="25"/>
        <v>129.4</v>
      </c>
      <c r="G209" s="1">
        <v>71.8</v>
      </c>
      <c r="H209" s="16">
        <f t="shared" si="24"/>
        <v>67.53999999999999</v>
      </c>
    </row>
    <row r="210" spans="1:8" ht="13.5">
      <c r="A210" s="4">
        <v>208</v>
      </c>
      <c r="B210" s="6" t="s">
        <v>117</v>
      </c>
      <c r="C210" s="6" t="str">
        <f>"2020047515"</f>
        <v>2020047515</v>
      </c>
      <c r="D210" s="1">
        <v>74.8</v>
      </c>
      <c r="E210" s="2">
        <v>81.5</v>
      </c>
      <c r="F210" s="3">
        <f t="shared" si="25"/>
        <v>156.3</v>
      </c>
      <c r="G210" s="1">
        <v>76.2</v>
      </c>
      <c r="H210" s="16">
        <f t="shared" si="24"/>
        <v>77.37</v>
      </c>
    </row>
    <row r="211" spans="1:8" ht="13.5">
      <c r="A211" s="4">
        <v>209</v>
      </c>
      <c r="B211" s="6" t="s">
        <v>117</v>
      </c>
      <c r="C211" s="6" t="str">
        <f>"2020021017"</f>
        <v>2020021017</v>
      </c>
      <c r="D211" s="1">
        <v>80.5</v>
      </c>
      <c r="E211" s="2">
        <v>79</v>
      </c>
      <c r="F211" s="3">
        <f t="shared" si="25"/>
        <v>159.5</v>
      </c>
      <c r="G211" s="1">
        <v>73.2</v>
      </c>
      <c r="H211" s="16">
        <f t="shared" si="24"/>
        <v>77.13</v>
      </c>
    </row>
    <row r="212" spans="1:8" ht="13.5">
      <c r="A212" s="4">
        <v>210</v>
      </c>
      <c r="B212" s="6" t="s">
        <v>117</v>
      </c>
      <c r="C212" s="6" t="str">
        <f>"2020031819"</f>
        <v>2020031819</v>
      </c>
      <c r="D212" s="1">
        <v>70.2</v>
      </c>
      <c r="E212" s="2">
        <v>82</v>
      </c>
      <c r="F212" s="3">
        <f t="shared" si="25"/>
        <v>152.2</v>
      </c>
      <c r="G212" s="1">
        <v>72.9</v>
      </c>
      <c r="H212" s="16">
        <f t="shared" si="24"/>
        <v>74.82</v>
      </c>
    </row>
    <row r="213" spans="1:8" ht="13.5">
      <c r="A213" s="4">
        <v>211</v>
      </c>
      <c r="B213" s="6" t="s">
        <v>117</v>
      </c>
      <c r="C213" s="6" t="str">
        <f>"2020011001"</f>
        <v>2020011001</v>
      </c>
      <c r="D213" s="1">
        <v>68.1</v>
      </c>
      <c r="E213" s="2">
        <v>71.5</v>
      </c>
      <c r="F213" s="3">
        <f t="shared" si="25"/>
        <v>139.6</v>
      </c>
      <c r="G213" s="1">
        <v>0</v>
      </c>
      <c r="H213" s="16">
        <f t="shared" si="24"/>
        <v>41.879999999999995</v>
      </c>
    </row>
    <row r="214" spans="1:8" ht="15.75">
      <c r="A214" s="4">
        <v>212</v>
      </c>
      <c r="B214" s="6" t="s">
        <v>117</v>
      </c>
      <c r="C214" s="6" t="str">
        <f>"2020012523"</f>
        <v>2020012523</v>
      </c>
      <c r="D214" s="1">
        <v>73.5</v>
      </c>
      <c r="E214" s="2">
        <v>65.5</v>
      </c>
      <c r="F214" s="3">
        <f t="shared" si="25"/>
        <v>139</v>
      </c>
      <c r="G214" s="8" t="s">
        <v>232</v>
      </c>
      <c r="H214" s="16">
        <f>F214/2*0.6</f>
        <v>41.699999999999996</v>
      </c>
    </row>
    <row r="215" spans="1:8" ht="15.75">
      <c r="A215" s="4">
        <v>213</v>
      </c>
      <c r="B215" s="6" t="s">
        <v>117</v>
      </c>
      <c r="C215" s="6" t="str">
        <f>"2020041226"</f>
        <v>2020041226</v>
      </c>
      <c r="D215" s="1">
        <v>66.2</v>
      </c>
      <c r="E215" s="2">
        <v>72.5</v>
      </c>
      <c r="F215" s="3">
        <f t="shared" si="25"/>
        <v>138.7</v>
      </c>
      <c r="G215" s="8" t="s">
        <v>232</v>
      </c>
      <c r="H215" s="16">
        <f>F215/2*0.6</f>
        <v>41.60999999999999</v>
      </c>
    </row>
    <row r="216" spans="1:8" ht="13.5">
      <c r="A216" s="4">
        <v>214</v>
      </c>
      <c r="B216" s="6" t="s">
        <v>49</v>
      </c>
      <c r="C216" s="6" t="str">
        <f>"2020041515"</f>
        <v>2020041515</v>
      </c>
      <c r="D216" s="1">
        <v>78.5</v>
      </c>
      <c r="E216" s="2">
        <v>74</v>
      </c>
      <c r="F216" s="3">
        <f t="shared" si="25"/>
        <v>152.5</v>
      </c>
      <c r="G216" s="1">
        <v>75.4</v>
      </c>
      <c r="H216" s="16">
        <f aca="true" t="shared" si="26" ref="H216:H234">F216*0.5*0.6+G216*0.4</f>
        <v>75.91</v>
      </c>
    </row>
    <row r="217" spans="1:8" ht="13.5">
      <c r="A217" s="4">
        <v>215</v>
      </c>
      <c r="B217" s="6" t="s">
        <v>49</v>
      </c>
      <c r="C217" s="6" t="str">
        <f>"2020024721"</f>
        <v>2020024721</v>
      </c>
      <c r="D217" s="1">
        <v>69</v>
      </c>
      <c r="E217" s="2">
        <v>79.5</v>
      </c>
      <c r="F217" s="3">
        <f t="shared" si="25"/>
        <v>148.5</v>
      </c>
      <c r="G217" s="1">
        <v>77.3</v>
      </c>
      <c r="H217" s="16">
        <f t="shared" si="26"/>
        <v>75.47</v>
      </c>
    </row>
    <row r="218" spans="1:8" ht="13.5">
      <c r="A218" s="4">
        <v>216</v>
      </c>
      <c r="B218" s="6" t="s">
        <v>49</v>
      </c>
      <c r="C218" s="6" t="str">
        <f>"2020046706"</f>
        <v>2020046706</v>
      </c>
      <c r="D218" s="1">
        <v>73.4</v>
      </c>
      <c r="E218" s="2">
        <v>76</v>
      </c>
      <c r="F218" s="3">
        <f t="shared" si="25"/>
        <v>149.4</v>
      </c>
      <c r="G218" s="1">
        <v>75.4</v>
      </c>
      <c r="H218" s="16">
        <f t="shared" si="26"/>
        <v>74.98</v>
      </c>
    </row>
    <row r="219" spans="1:8" ht="13.5">
      <c r="A219" s="4">
        <v>217</v>
      </c>
      <c r="B219" s="6" t="s">
        <v>128</v>
      </c>
      <c r="C219" s="6" t="str">
        <f>"2020013817"</f>
        <v>2020013817</v>
      </c>
      <c r="D219" s="1">
        <v>75.4</v>
      </c>
      <c r="E219" s="2">
        <v>73.5</v>
      </c>
      <c r="F219" s="3">
        <f t="shared" si="25"/>
        <v>148.9</v>
      </c>
      <c r="G219" s="1">
        <v>74.4</v>
      </c>
      <c r="H219" s="16">
        <f t="shared" si="26"/>
        <v>74.43</v>
      </c>
    </row>
    <row r="220" spans="1:8" ht="13.5">
      <c r="A220" s="4">
        <v>218</v>
      </c>
      <c r="B220" s="6" t="s">
        <v>128</v>
      </c>
      <c r="C220" s="6" t="str">
        <f>"2020024423"</f>
        <v>2020024423</v>
      </c>
      <c r="D220" s="1">
        <v>68.7</v>
      </c>
      <c r="E220" s="2">
        <v>78.5</v>
      </c>
      <c r="F220" s="3">
        <f t="shared" si="25"/>
        <v>147.2</v>
      </c>
      <c r="G220" s="1">
        <v>72.2</v>
      </c>
      <c r="H220" s="16">
        <f t="shared" si="26"/>
        <v>73.03999999999999</v>
      </c>
    </row>
    <row r="221" spans="1:8" ht="13.5">
      <c r="A221" s="4">
        <v>219</v>
      </c>
      <c r="B221" s="6" t="s">
        <v>128</v>
      </c>
      <c r="C221" s="6" t="s">
        <v>194</v>
      </c>
      <c r="D221" s="1">
        <v>66.3</v>
      </c>
      <c r="E221" s="2">
        <v>80</v>
      </c>
      <c r="F221" s="7">
        <v>146.3</v>
      </c>
      <c r="G221" s="1">
        <v>68.6</v>
      </c>
      <c r="H221" s="16">
        <f t="shared" si="26"/>
        <v>71.33</v>
      </c>
    </row>
    <row r="222" spans="1:8" ht="13.5">
      <c r="A222" s="4">
        <v>220</v>
      </c>
      <c r="B222" s="6" t="s">
        <v>64</v>
      </c>
      <c r="C222" s="6" t="str">
        <f>"2020040621"</f>
        <v>2020040621</v>
      </c>
      <c r="D222" s="1">
        <v>73.1</v>
      </c>
      <c r="E222" s="2">
        <v>60.5</v>
      </c>
      <c r="F222" s="3">
        <f aca="true" t="shared" si="27" ref="F222:F251">D222+E222</f>
        <v>133.6</v>
      </c>
      <c r="G222" s="1">
        <v>76.1</v>
      </c>
      <c r="H222" s="16">
        <f t="shared" si="26"/>
        <v>70.52</v>
      </c>
    </row>
    <row r="223" spans="1:8" ht="13.5">
      <c r="A223" s="4">
        <v>221</v>
      </c>
      <c r="B223" s="6" t="s">
        <v>64</v>
      </c>
      <c r="C223" s="6" t="str">
        <f>"2020040328"</f>
        <v>2020040328</v>
      </c>
      <c r="D223" s="1">
        <v>62</v>
      </c>
      <c r="E223" s="2">
        <v>63</v>
      </c>
      <c r="F223" s="3">
        <f t="shared" si="27"/>
        <v>125</v>
      </c>
      <c r="G223" s="1">
        <v>73.3</v>
      </c>
      <c r="H223" s="16">
        <f t="shared" si="26"/>
        <v>66.82</v>
      </c>
    </row>
    <row r="224" spans="1:8" ht="13.5">
      <c r="A224" s="4">
        <v>222</v>
      </c>
      <c r="B224" s="6" t="s">
        <v>64</v>
      </c>
      <c r="C224" s="6" t="str">
        <f>"2020010220"</f>
        <v>2020010220</v>
      </c>
      <c r="D224" s="1">
        <v>64.4</v>
      </c>
      <c r="E224" s="2">
        <v>62.5</v>
      </c>
      <c r="F224" s="3">
        <f t="shared" si="27"/>
        <v>126.9</v>
      </c>
      <c r="G224" s="1">
        <v>70.8</v>
      </c>
      <c r="H224" s="16">
        <f t="shared" si="26"/>
        <v>66.39</v>
      </c>
    </row>
    <row r="225" spans="1:8" ht="13.5">
      <c r="A225" s="4">
        <v>223</v>
      </c>
      <c r="B225" s="6" t="s">
        <v>64</v>
      </c>
      <c r="C225" s="6" t="str">
        <f>"2020046808"</f>
        <v>2020046808</v>
      </c>
      <c r="D225" s="1">
        <v>64.8</v>
      </c>
      <c r="E225" s="2">
        <v>58.5</v>
      </c>
      <c r="F225" s="3">
        <f t="shared" si="27"/>
        <v>123.3</v>
      </c>
      <c r="G225" s="1">
        <v>73.2</v>
      </c>
      <c r="H225" s="16">
        <f t="shared" si="26"/>
        <v>66.27</v>
      </c>
    </row>
    <row r="226" spans="1:8" ht="13.5">
      <c r="A226" s="4">
        <v>224</v>
      </c>
      <c r="B226" s="6" t="s">
        <v>64</v>
      </c>
      <c r="C226" s="6" t="str">
        <f>"2020040623"</f>
        <v>2020040623</v>
      </c>
      <c r="D226" s="1">
        <v>54.1</v>
      </c>
      <c r="E226" s="2">
        <v>65.5</v>
      </c>
      <c r="F226" s="3">
        <f t="shared" si="27"/>
        <v>119.6</v>
      </c>
      <c r="G226" s="1">
        <v>57</v>
      </c>
      <c r="H226" s="16">
        <f t="shared" si="26"/>
        <v>58.67999999999999</v>
      </c>
    </row>
    <row r="227" spans="1:8" ht="13.5">
      <c r="A227" s="4">
        <v>225</v>
      </c>
      <c r="B227" s="6" t="s">
        <v>7</v>
      </c>
      <c r="C227" s="6" t="str">
        <f>"2020010517"</f>
        <v>2020010517</v>
      </c>
      <c r="D227" s="1">
        <v>76.7</v>
      </c>
      <c r="E227" s="2">
        <v>83</v>
      </c>
      <c r="F227" s="3">
        <f t="shared" si="27"/>
        <v>159.7</v>
      </c>
      <c r="G227" s="1">
        <v>78.2</v>
      </c>
      <c r="H227" s="16">
        <f t="shared" si="26"/>
        <v>79.19</v>
      </c>
    </row>
    <row r="228" spans="1:8" ht="13.5">
      <c r="A228" s="4">
        <v>226</v>
      </c>
      <c r="B228" s="6" t="s">
        <v>7</v>
      </c>
      <c r="C228" s="6" t="str">
        <f>"2020044226"</f>
        <v>2020044226</v>
      </c>
      <c r="D228" s="1">
        <v>75.3</v>
      </c>
      <c r="E228" s="2">
        <v>82</v>
      </c>
      <c r="F228" s="3">
        <f t="shared" si="27"/>
        <v>157.3</v>
      </c>
      <c r="G228" s="1">
        <v>74.7</v>
      </c>
      <c r="H228" s="16">
        <f t="shared" si="26"/>
        <v>77.07000000000001</v>
      </c>
    </row>
    <row r="229" spans="1:8" ht="13.5">
      <c r="A229" s="4">
        <v>227</v>
      </c>
      <c r="B229" s="6" t="s">
        <v>7</v>
      </c>
      <c r="C229" s="6" t="str">
        <f>"2020045618"</f>
        <v>2020045618</v>
      </c>
      <c r="D229" s="1">
        <v>68</v>
      </c>
      <c r="E229" s="2">
        <v>85</v>
      </c>
      <c r="F229" s="3">
        <f t="shared" si="27"/>
        <v>153</v>
      </c>
      <c r="G229" s="1">
        <v>73</v>
      </c>
      <c r="H229" s="16">
        <f t="shared" si="26"/>
        <v>75.1</v>
      </c>
    </row>
    <row r="230" spans="1:8" ht="13.5">
      <c r="A230" s="4">
        <v>228</v>
      </c>
      <c r="B230" s="6" t="s">
        <v>7</v>
      </c>
      <c r="C230" s="6" t="str">
        <f>"2020041311"</f>
        <v>2020041311</v>
      </c>
      <c r="D230" s="1">
        <v>76.3</v>
      </c>
      <c r="E230" s="2">
        <v>74.5</v>
      </c>
      <c r="F230" s="3">
        <f t="shared" si="27"/>
        <v>150.8</v>
      </c>
      <c r="G230" s="1">
        <v>74.2</v>
      </c>
      <c r="H230" s="16">
        <f t="shared" si="26"/>
        <v>74.92</v>
      </c>
    </row>
    <row r="231" spans="1:8" ht="13.5">
      <c r="A231" s="4">
        <v>229</v>
      </c>
      <c r="B231" s="6" t="s">
        <v>7</v>
      </c>
      <c r="C231" s="6" t="str">
        <f>"2020013527"</f>
        <v>2020013527</v>
      </c>
      <c r="D231" s="1">
        <v>69.9</v>
      </c>
      <c r="E231" s="2">
        <v>81</v>
      </c>
      <c r="F231" s="3">
        <f t="shared" si="27"/>
        <v>150.9</v>
      </c>
      <c r="G231" s="1">
        <v>74</v>
      </c>
      <c r="H231" s="16">
        <f t="shared" si="26"/>
        <v>74.87</v>
      </c>
    </row>
    <row r="232" spans="1:8" ht="13.5">
      <c r="A232" s="4">
        <v>230</v>
      </c>
      <c r="B232" s="6" t="s">
        <v>7</v>
      </c>
      <c r="C232" s="6" t="str">
        <f>"2020023620"</f>
        <v>2020023620</v>
      </c>
      <c r="D232" s="1">
        <v>68.5</v>
      </c>
      <c r="E232" s="2">
        <v>83</v>
      </c>
      <c r="F232" s="3">
        <f t="shared" si="27"/>
        <v>151.5</v>
      </c>
      <c r="G232" s="1">
        <v>72</v>
      </c>
      <c r="H232" s="16">
        <f t="shared" si="26"/>
        <v>74.25</v>
      </c>
    </row>
    <row r="233" spans="1:8" ht="13.5">
      <c r="A233" s="4">
        <v>231</v>
      </c>
      <c r="B233" s="6" t="s">
        <v>80</v>
      </c>
      <c r="C233" s="6" t="str">
        <f>"2020013701"</f>
        <v>2020013701</v>
      </c>
      <c r="D233" s="1">
        <v>77.7</v>
      </c>
      <c r="E233" s="2">
        <v>84</v>
      </c>
      <c r="F233" s="3">
        <f t="shared" si="27"/>
        <v>161.7</v>
      </c>
      <c r="G233" s="1">
        <v>75.2</v>
      </c>
      <c r="H233" s="16">
        <f t="shared" si="26"/>
        <v>78.59</v>
      </c>
    </row>
    <row r="234" spans="1:8" ht="13.5">
      <c r="A234" s="4">
        <v>232</v>
      </c>
      <c r="B234" s="6" t="s">
        <v>80</v>
      </c>
      <c r="C234" s="6" t="str">
        <f>"2020030725"</f>
        <v>2020030725</v>
      </c>
      <c r="D234" s="1">
        <v>77.8</v>
      </c>
      <c r="E234" s="2">
        <v>76</v>
      </c>
      <c r="F234" s="3">
        <f t="shared" si="27"/>
        <v>153.8</v>
      </c>
      <c r="G234" s="1">
        <v>71.4</v>
      </c>
      <c r="H234" s="16">
        <f t="shared" si="26"/>
        <v>74.7</v>
      </c>
    </row>
    <row r="235" spans="1:8" ht="15.75">
      <c r="A235" s="4">
        <v>233</v>
      </c>
      <c r="B235" s="6" t="s">
        <v>80</v>
      </c>
      <c r="C235" s="6" t="str">
        <f>"2020024222"</f>
        <v>2020024222</v>
      </c>
      <c r="D235" s="1">
        <v>75.8</v>
      </c>
      <c r="E235" s="2">
        <v>76</v>
      </c>
      <c r="F235" s="3">
        <f t="shared" si="27"/>
        <v>151.8</v>
      </c>
      <c r="G235" s="8" t="s">
        <v>232</v>
      </c>
      <c r="H235" s="16">
        <f>F235/2*0.6</f>
        <v>45.54</v>
      </c>
    </row>
    <row r="236" spans="1:8" ht="13.5">
      <c r="A236" s="4">
        <v>234</v>
      </c>
      <c r="B236" s="6" t="s">
        <v>164</v>
      </c>
      <c r="C236" s="6" t="str">
        <f>"2020031324"</f>
        <v>2020031324</v>
      </c>
      <c r="D236" s="1">
        <v>69.1</v>
      </c>
      <c r="E236" s="2">
        <v>73.5</v>
      </c>
      <c r="F236" s="3">
        <f t="shared" si="27"/>
        <v>142.6</v>
      </c>
      <c r="G236" s="9">
        <v>75.9</v>
      </c>
      <c r="H236" s="16">
        <f>F236*0.5*0.6+G236*0.4</f>
        <v>73.14</v>
      </c>
    </row>
    <row r="237" spans="1:8" ht="15.75">
      <c r="A237" s="4">
        <v>235</v>
      </c>
      <c r="B237" s="6" t="s">
        <v>164</v>
      </c>
      <c r="C237" s="6" t="str">
        <f>"2020045825"</f>
        <v>2020045825</v>
      </c>
      <c r="D237" s="1">
        <v>83.3</v>
      </c>
      <c r="E237" s="2">
        <v>82</v>
      </c>
      <c r="F237" s="3">
        <f t="shared" si="27"/>
        <v>165.3</v>
      </c>
      <c r="G237" s="10" t="s">
        <v>232</v>
      </c>
      <c r="H237" s="16">
        <f>F237/2*0.6</f>
        <v>49.59</v>
      </c>
    </row>
    <row r="238" spans="1:8" ht="15.75">
      <c r="A238" s="4">
        <v>236</v>
      </c>
      <c r="B238" s="6" t="s">
        <v>164</v>
      </c>
      <c r="C238" s="6" t="str">
        <f>"2020032207"</f>
        <v>2020032207</v>
      </c>
      <c r="D238" s="1">
        <v>71.4</v>
      </c>
      <c r="E238" s="2">
        <v>68</v>
      </c>
      <c r="F238" s="3">
        <f t="shared" si="27"/>
        <v>139.4</v>
      </c>
      <c r="G238" s="8" t="s">
        <v>232</v>
      </c>
      <c r="H238" s="16">
        <f>F238/2*0.6</f>
        <v>41.82</v>
      </c>
    </row>
    <row r="239" spans="1:8" ht="13.5">
      <c r="A239" s="4">
        <v>237</v>
      </c>
      <c r="B239" s="6" t="s">
        <v>168</v>
      </c>
      <c r="C239" s="6" t="str">
        <f>"2020046921"</f>
        <v>2020046921</v>
      </c>
      <c r="D239" s="1">
        <v>70.8</v>
      </c>
      <c r="E239" s="2">
        <v>66.5</v>
      </c>
      <c r="F239" s="3">
        <f t="shared" si="27"/>
        <v>137.3</v>
      </c>
      <c r="G239" s="1">
        <v>78.2</v>
      </c>
      <c r="H239" s="16">
        <f aca="true" t="shared" si="28" ref="H239:H245">F239*0.5*0.6+G239*0.4</f>
        <v>72.47</v>
      </c>
    </row>
    <row r="240" spans="1:8" ht="13.5">
      <c r="A240" s="4">
        <v>238</v>
      </c>
      <c r="B240" s="6" t="s">
        <v>168</v>
      </c>
      <c r="C240" s="6" t="str">
        <f>"2020020613"</f>
        <v>2020020613</v>
      </c>
      <c r="D240" s="1">
        <v>58.8</v>
      </c>
      <c r="E240" s="2">
        <v>72</v>
      </c>
      <c r="F240" s="3">
        <f t="shared" si="27"/>
        <v>130.8</v>
      </c>
      <c r="G240" s="1">
        <v>73.5</v>
      </c>
      <c r="H240" s="16">
        <f t="shared" si="28"/>
        <v>68.64</v>
      </c>
    </row>
    <row r="241" spans="1:8" ht="13.5">
      <c r="A241" s="4">
        <v>239</v>
      </c>
      <c r="B241" s="6" t="s">
        <v>168</v>
      </c>
      <c r="C241" s="6" t="str">
        <f>"2020047525"</f>
        <v>2020047525</v>
      </c>
      <c r="D241" s="1">
        <v>74</v>
      </c>
      <c r="E241" s="2">
        <v>57</v>
      </c>
      <c r="F241" s="3">
        <f t="shared" si="27"/>
        <v>131</v>
      </c>
      <c r="G241" s="1">
        <v>72</v>
      </c>
      <c r="H241" s="16">
        <f t="shared" si="28"/>
        <v>68.1</v>
      </c>
    </row>
    <row r="242" spans="1:8" ht="13.5">
      <c r="A242" s="4">
        <v>240</v>
      </c>
      <c r="B242" s="6" t="s">
        <v>73</v>
      </c>
      <c r="C242" s="6" t="str">
        <f>"2020021901"</f>
        <v>2020021901</v>
      </c>
      <c r="D242" s="1">
        <v>68.7</v>
      </c>
      <c r="E242" s="2">
        <v>85.5</v>
      </c>
      <c r="F242" s="3">
        <f t="shared" si="27"/>
        <v>154.2</v>
      </c>
      <c r="G242" s="1">
        <v>77.9</v>
      </c>
      <c r="H242" s="16">
        <f t="shared" si="28"/>
        <v>77.42</v>
      </c>
    </row>
    <row r="243" spans="1:8" ht="13.5">
      <c r="A243" s="4">
        <v>241</v>
      </c>
      <c r="B243" s="6" t="s">
        <v>73</v>
      </c>
      <c r="C243" s="6" t="str">
        <f>"2020020321"</f>
        <v>2020020321</v>
      </c>
      <c r="D243" s="1">
        <v>73</v>
      </c>
      <c r="E243" s="2">
        <v>80.5</v>
      </c>
      <c r="F243" s="3">
        <f t="shared" si="27"/>
        <v>153.5</v>
      </c>
      <c r="G243" s="1">
        <v>75.1</v>
      </c>
      <c r="H243" s="16">
        <f t="shared" si="28"/>
        <v>76.09</v>
      </c>
    </row>
    <row r="244" spans="1:8" ht="13.5">
      <c r="A244" s="4">
        <v>242</v>
      </c>
      <c r="B244" s="6" t="s">
        <v>73</v>
      </c>
      <c r="C244" s="6" t="str">
        <f>"2020047401"</f>
        <v>2020047401</v>
      </c>
      <c r="D244" s="1">
        <v>74.2</v>
      </c>
      <c r="E244" s="2">
        <v>74</v>
      </c>
      <c r="F244" s="3">
        <f t="shared" si="27"/>
        <v>148.2</v>
      </c>
      <c r="G244" s="1">
        <v>75</v>
      </c>
      <c r="H244" s="16">
        <f t="shared" si="28"/>
        <v>74.46</v>
      </c>
    </row>
    <row r="245" spans="1:8" ht="13.5">
      <c r="A245" s="4">
        <v>243</v>
      </c>
      <c r="B245" s="6" t="s">
        <v>163</v>
      </c>
      <c r="C245" s="6" t="str">
        <f>"2020022803"</f>
        <v>2020022803</v>
      </c>
      <c r="D245" s="1">
        <v>75.3</v>
      </c>
      <c r="E245" s="2">
        <v>70</v>
      </c>
      <c r="F245" s="3">
        <f t="shared" si="27"/>
        <v>145.3</v>
      </c>
      <c r="G245" s="1">
        <v>78.24</v>
      </c>
      <c r="H245" s="16">
        <f t="shared" si="28"/>
        <v>74.886</v>
      </c>
    </row>
    <row r="246" spans="1:8" ht="15.75">
      <c r="A246" s="4">
        <v>244</v>
      </c>
      <c r="B246" s="6" t="s">
        <v>163</v>
      </c>
      <c r="C246" s="6" t="str">
        <f>"2020045530"</f>
        <v>2020045530</v>
      </c>
      <c r="D246" s="1">
        <v>66.9</v>
      </c>
      <c r="E246" s="2">
        <v>64.5</v>
      </c>
      <c r="F246" s="3">
        <f t="shared" si="27"/>
        <v>131.4</v>
      </c>
      <c r="G246" s="8" t="s">
        <v>232</v>
      </c>
      <c r="H246" s="16">
        <f>F246/2*0.6</f>
        <v>39.42</v>
      </c>
    </row>
    <row r="247" spans="1:8" ht="15.75">
      <c r="A247" s="4">
        <v>245</v>
      </c>
      <c r="B247" s="6" t="s">
        <v>163</v>
      </c>
      <c r="C247" s="6" t="str">
        <f>"2020030416"</f>
        <v>2020030416</v>
      </c>
      <c r="D247" s="1">
        <v>61.2</v>
      </c>
      <c r="E247" s="2">
        <v>62.5</v>
      </c>
      <c r="F247" s="3">
        <f t="shared" si="27"/>
        <v>123.7</v>
      </c>
      <c r="G247" s="8" t="s">
        <v>232</v>
      </c>
      <c r="H247" s="16">
        <f>F247/2*0.6</f>
        <v>37.11</v>
      </c>
    </row>
    <row r="248" spans="1:8" ht="13.5">
      <c r="A248" s="4">
        <v>246</v>
      </c>
      <c r="B248" s="6" t="s">
        <v>155</v>
      </c>
      <c r="C248" s="6" t="str">
        <f>"2020042120"</f>
        <v>2020042120</v>
      </c>
      <c r="D248" s="1">
        <v>67</v>
      </c>
      <c r="E248" s="2">
        <v>74</v>
      </c>
      <c r="F248" s="3">
        <f t="shared" si="27"/>
        <v>141</v>
      </c>
      <c r="G248" s="1">
        <v>74</v>
      </c>
      <c r="H248" s="16">
        <f aca="true" t="shared" si="29" ref="H248:H257">F248*0.5*0.6+G248*0.4</f>
        <v>71.9</v>
      </c>
    </row>
    <row r="249" spans="1:8" ht="13.5">
      <c r="A249" s="4">
        <v>247</v>
      </c>
      <c r="B249" s="6" t="s">
        <v>155</v>
      </c>
      <c r="C249" s="6" t="str">
        <f>"2020043224"</f>
        <v>2020043224</v>
      </c>
      <c r="D249" s="1">
        <v>67.1</v>
      </c>
      <c r="E249" s="2">
        <v>65.5</v>
      </c>
      <c r="F249" s="3">
        <f t="shared" si="27"/>
        <v>132.6</v>
      </c>
      <c r="G249" s="1">
        <v>70</v>
      </c>
      <c r="H249" s="16">
        <f t="shared" si="29"/>
        <v>67.78</v>
      </c>
    </row>
    <row r="250" spans="1:8" ht="13.5">
      <c r="A250" s="4">
        <v>248</v>
      </c>
      <c r="B250" s="6" t="s">
        <v>136</v>
      </c>
      <c r="C250" s="6" t="str">
        <f>"2020043115"</f>
        <v>2020043115</v>
      </c>
      <c r="D250" s="1">
        <v>68.5</v>
      </c>
      <c r="E250" s="2">
        <v>85.5</v>
      </c>
      <c r="F250" s="3">
        <f t="shared" si="27"/>
        <v>154</v>
      </c>
      <c r="G250" s="1">
        <v>75.9</v>
      </c>
      <c r="H250" s="16">
        <f t="shared" si="29"/>
        <v>76.56</v>
      </c>
    </row>
    <row r="251" spans="1:8" ht="13.5">
      <c r="A251" s="4">
        <v>249</v>
      </c>
      <c r="B251" s="6" t="s">
        <v>136</v>
      </c>
      <c r="C251" s="6" t="str">
        <f>"2020011119"</f>
        <v>2020011119</v>
      </c>
      <c r="D251" s="1">
        <v>81.3</v>
      </c>
      <c r="E251" s="2">
        <v>69.5</v>
      </c>
      <c r="F251" s="3">
        <f t="shared" si="27"/>
        <v>150.8</v>
      </c>
      <c r="G251" s="1">
        <v>77.7</v>
      </c>
      <c r="H251" s="16">
        <f t="shared" si="29"/>
        <v>76.32000000000001</v>
      </c>
    </row>
    <row r="252" spans="1:8" ht="13.5">
      <c r="A252" s="4">
        <v>250</v>
      </c>
      <c r="B252" s="6" t="s">
        <v>136</v>
      </c>
      <c r="C252" s="6" t="s">
        <v>195</v>
      </c>
      <c r="D252" s="1">
        <v>66.7</v>
      </c>
      <c r="E252" s="2">
        <v>69.5</v>
      </c>
      <c r="F252" s="7">
        <v>136.2</v>
      </c>
      <c r="G252" s="1">
        <v>64.2</v>
      </c>
      <c r="H252" s="16">
        <f t="shared" si="29"/>
        <v>66.53999999999999</v>
      </c>
    </row>
    <row r="253" spans="1:8" ht="13.5">
      <c r="A253" s="4">
        <v>251</v>
      </c>
      <c r="B253" s="6" t="s">
        <v>169</v>
      </c>
      <c r="C253" s="6" t="str">
        <f>"2020030110"</f>
        <v>2020030110</v>
      </c>
      <c r="D253" s="1">
        <v>74.4</v>
      </c>
      <c r="E253" s="2">
        <v>76</v>
      </c>
      <c r="F253" s="3">
        <f>D253+E253</f>
        <v>150.4</v>
      </c>
      <c r="G253" s="1">
        <v>78.1</v>
      </c>
      <c r="H253" s="16">
        <f t="shared" si="29"/>
        <v>76.36</v>
      </c>
    </row>
    <row r="254" spans="1:8" ht="13.5">
      <c r="A254" s="4">
        <v>252</v>
      </c>
      <c r="B254" s="6" t="s">
        <v>58</v>
      </c>
      <c r="C254" s="6" t="str">
        <f>"2020047318"</f>
        <v>2020047318</v>
      </c>
      <c r="D254" s="1">
        <v>81.3</v>
      </c>
      <c r="E254" s="2">
        <v>81.5</v>
      </c>
      <c r="F254" s="3">
        <f>D254+E254</f>
        <v>162.8</v>
      </c>
      <c r="G254" s="1">
        <v>74.8</v>
      </c>
      <c r="H254" s="16">
        <f t="shared" si="29"/>
        <v>78.76</v>
      </c>
    </row>
    <row r="255" spans="1:8" ht="13.5">
      <c r="A255" s="4">
        <v>253</v>
      </c>
      <c r="B255" s="6" t="s">
        <v>58</v>
      </c>
      <c r="C255" s="6" t="str">
        <f>"2020042102"</f>
        <v>2020042102</v>
      </c>
      <c r="D255" s="1">
        <v>71.8</v>
      </c>
      <c r="E255" s="2">
        <v>77</v>
      </c>
      <c r="F255" s="3">
        <f>D255+E255</f>
        <v>148.8</v>
      </c>
      <c r="G255" s="9">
        <v>73.1</v>
      </c>
      <c r="H255" s="16">
        <f t="shared" si="29"/>
        <v>73.88</v>
      </c>
    </row>
    <row r="256" spans="1:8" ht="13.5">
      <c r="A256" s="4">
        <v>254</v>
      </c>
      <c r="B256" s="6" t="s">
        <v>58</v>
      </c>
      <c r="C256" s="6" t="s">
        <v>196</v>
      </c>
      <c r="D256" s="1">
        <v>67.5</v>
      </c>
      <c r="E256" s="2">
        <v>69</v>
      </c>
      <c r="F256" s="7">
        <v>136.5</v>
      </c>
      <c r="G256" s="1">
        <v>71.4</v>
      </c>
      <c r="H256" s="16">
        <f t="shared" si="29"/>
        <v>69.50999999999999</v>
      </c>
    </row>
    <row r="257" spans="1:8" ht="13.5">
      <c r="A257" s="4">
        <v>255</v>
      </c>
      <c r="B257" s="6" t="s">
        <v>58</v>
      </c>
      <c r="C257" s="6" t="s">
        <v>197</v>
      </c>
      <c r="D257" s="1">
        <v>67.5</v>
      </c>
      <c r="E257" s="2">
        <v>56.5</v>
      </c>
      <c r="F257" s="7">
        <v>124</v>
      </c>
      <c r="G257" s="9">
        <v>69.5</v>
      </c>
      <c r="H257" s="16">
        <f t="shared" si="29"/>
        <v>65</v>
      </c>
    </row>
    <row r="258" spans="1:8" ht="15.75">
      <c r="A258" s="4">
        <v>256</v>
      </c>
      <c r="B258" s="6" t="s">
        <v>58</v>
      </c>
      <c r="C258" s="6" t="str">
        <f>"2020040701"</f>
        <v>2020040701</v>
      </c>
      <c r="D258" s="1">
        <v>72.7</v>
      </c>
      <c r="E258" s="2">
        <v>76.5</v>
      </c>
      <c r="F258" s="3">
        <f aca="true" t="shared" si="30" ref="F258:F266">D258+E258</f>
        <v>149.2</v>
      </c>
      <c r="G258" s="10" t="s">
        <v>232</v>
      </c>
      <c r="H258" s="16">
        <f>F258/2*0.6</f>
        <v>44.76</v>
      </c>
    </row>
    <row r="259" spans="1:8" ht="15.75">
      <c r="A259" s="4">
        <v>257</v>
      </c>
      <c r="B259" s="6" t="s">
        <v>58</v>
      </c>
      <c r="C259" s="6" t="str">
        <f>"2020011622"</f>
        <v>2020011622</v>
      </c>
      <c r="D259" s="1">
        <v>71.6</v>
      </c>
      <c r="E259" s="2">
        <v>74</v>
      </c>
      <c r="F259" s="3">
        <f t="shared" si="30"/>
        <v>145.6</v>
      </c>
      <c r="G259" s="10" t="s">
        <v>232</v>
      </c>
      <c r="H259" s="16">
        <f>F259/2*0.6</f>
        <v>43.68</v>
      </c>
    </row>
    <row r="260" spans="1:8" ht="13.5">
      <c r="A260" s="4">
        <v>258</v>
      </c>
      <c r="B260" s="6" t="s">
        <v>138</v>
      </c>
      <c r="C260" s="6" t="str">
        <f>"2020042921"</f>
        <v>2020042921</v>
      </c>
      <c r="D260" s="1">
        <v>76.7</v>
      </c>
      <c r="E260" s="2">
        <v>81.5</v>
      </c>
      <c r="F260" s="3">
        <f t="shared" si="30"/>
        <v>158.2</v>
      </c>
      <c r="G260" s="1">
        <v>75.56</v>
      </c>
      <c r="H260" s="16">
        <f>F260*0.5*0.6+G260*0.4</f>
        <v>77.684</v>
      </c>
    </row>
    <row r="261" spans="1:8" ht="13.5">
      <c r="A261" s="4">
        <v>259</v>
      </c>
      <c r="B261" s="6" t="s">
        <v>138</v>
      </c>
      <c r="C261" s="6" t="str">
        <f>"2020023826"</f>
        <v>2020023826</v>
      </c>
      <c r="D261" s="1">
        <v>65.2</v>
      </c>
      <c r="E261" s="2">
        <v>62</v>
      </c>
      <c r="F261" s="3">
        <f t="shared" si="30"/>
        <v>127.2</v>
      </c>
      <c r="G261" s="9">
        <v>73.1</v>
      </c>
      <c r="H261" s="16">
        <f>F261*0.5*0.6+G261*0.4</f>
        <v>67.39999999999999</v>
      </c>
    </row>
    <row r="262" spans="1:8" ht="15.75">
      <c r="A262" s="4">
        <v>260</v>
      </c>
      <c r="B262" s="6" t="s">
        <v>138</v>
      </c>
      <c r="C262" s="6" t="str">
        <f>"2020032504"</f>
        <v>2020032504</v>
      </c>
      <c r="D262" s="1">
        <v>67.6</v>
      </c>
      <c r="E262" s="2">
        <v>67</v>
      </c>
      <c r="F262" s="3">
        <f t="shared" si="30"/>
        <v>134.6</v>
      </c>
      <c r="G262" s="10" t="s">
        <v>232</v>
      </c>
      <c r="H262" s="16">
        <f>F262/2*0.6</f>
        <v>40.379999999999995</v>
      </c>
    </row>
    <row r="263" spans="1:8" ht="13.5">
      <c r="A263" s="4">
        <v>261</v>
      </c>
      <c r="B263" s="6" t="s">
        <v>83</v>
      </c>
      <c r="C263" s="6" t="str">
        <f>"2020040429"</f>
        <v>2020040429</v>
      </c>
      <c r="D263" s="1">
        <v>67.1</v>
      </c>
      <c r="E263" s="2">
        <v>81</v>
      </c>
      <c r="F263" s="3">
        <f t="shared" si="30"/>
        <v>148.1</v>
      </c>
      <c r="G263" s="1">
        <v>73.4</v>
      </c>
      <c r="H263" s="16">
        <f>F263*0.5*0.6+G263*0.4</f>
        <v>73.79</v>
      </c>
    </row>
    <row r="264" spans="1:8" ht="13.5">
      <c r="A264" s="4">
        <v>262</v>
      </c>
      <c r="B264" s="6" t="s">
        <v>83</v>
      </c>
      <c r="C264" s="6" t="str">
        <f>"2020031604"</f>
        <v>2020031604</v>
      </c>
      <c r="D264" s="1">
        <v>64.2</v>
      </c>
      <c r="E264" s="2">
        <v>70.5</v>
      </c>
      <c r="F264" s="3">
        <f t="shared" si="30"/>
        <v>134.7</v>
      </c>
      <c r="G264" s="1">
        <v>73.7</v>
      </c>
      <c r="H264" s="16">
        <f>F264*0.5*0.6+G264*0.4</f>
        <v>69.89</v>
      </c>
    </row>
    <row r="265" spans="1:8" ht="13.5">
      <c r="A265" s="4">
        <v>263</v>
      </c>
      <c r="B265" s="6" t="s">
        <v>83</v>
      </c>
      <c r="C265" s="6" t="str">
        <f>"2020031008"</f>
        <v>2020031008</v>
      </c>
      <c r="D265" s="1">
        <v>65</v>
      </c>
      <c r="E265" s="2">
        <v>68</v>
      </c>
      <c r="F265" s="3">
        <f t="shared" si="30"/>
        <v>133</v>
      </c>
      <c r="G265" s="1">
        <v>74.6</v>
      </c>
      <c r="H265" s="16">
        <f>F265*0.5*0.6+G265*0.4</f>
        <v>69.74</v>
      </c>
    </row>
    <row r="266" spans="1:8" ht="13.5">
      <c r="A266" s="4">
        <v>264</v>
      </c>
      <c r="B266" s="6" t="s">
        <v>105</v>
      </c>
      <c r="C266" s="6" t="str">
        <f>"2020021206"</f>
        <v>2020021206</v>
      </c>
      <c r="D266" s="1">
        <v>79.7</v>
      </c>
      <c r="E266" s="2">
        <v>82.5</v>
      </c>
      <c r="F266" s="3">
        <f t="shared" si="30"/>
        <v>162.2</v>
      </c>
      <c r="G266" s="1">
        <v>75.8</v>
      </c>
      <c r="H266" s="16">
        <f>F266*0.5*0.6+G266*0.4</f>
        <v>78.97999999999999</v>
      </c>
    </row>
    <row r="267" spans="1:8" ht="13.5">
      <c r="A267" s="4">
        <v>265</v>
      </c>
      <c r="B267" s="6" t="s">
        <v>105</v>
      </c>
      <c r="C267" s="6" t="s">
        <v>198</v>
      </c>
      <c r="D267" s="1">
        <v>74.9</v>
      </c>
      <c r="E267" s="2">
        <v>77</v>
      </c>
      <c r="F267" s="7">
        <v>151.9</v>
      </c>
      <c r="G267" s="9">
        <v>77.4</v>
      </c>
      <c r="H267" s="16">
        <f>F267*0.5*0.6+G267*0.4</f>
        <v>76.53</v>
      </c>
    </row>
    <row r="268" spans="1:8" ht="15.75">
      <c r="A268" s="4">
        <v>266</v>
      </c>
      <c r="B268" s="6" t="s">
        <v>105</v>
      </c>
      <c r="C268" s="6" t="str">
        <f>"2020033416"</f>
        <v>2020033416</v>
      </c>
      <c r="D268" s="1">
        <v>83.3</v>
      </c>
      <c r="E268" s="2">
        <v>77.5</v>
      </c>
      <c r="F268" s="3">
        <f aca="true" t="shared" si="31" ref="F268:F277">D268+E268</f>
        <v>160.8</v>
      </c>
      <c r="G268" s="10" t="s">
        <v>232</v>
      </c>
      <c r="H268" s="16">
        <f>F268/2*0.6</f>
        <v>48.24</v>
      </c>
    </row>
    <row r="269" spans="1:8" ht="13.5">
      <c r="A269" s="4">
        <v>267</v>
      </c>
      <c r="B269" s="6" t="s">
        <v>29</v>
      </c>
      <c r="C269" s="6" t="str">
        <f>"2020011306"</f>
        <v>2020011306</v>
      </c>
      <c r="D269" s="1">
        <v>69.7</v>
      </c>
      <c r="E269" s="2">
        <v>85</v>
      </c>
      <c r="F269" s="3">
        <f t="shared" si="31"/>
        <v>154.7</v>
      </c>
      <c r="G269" s="1">
        <v>73.9</v>
      </c>
      <c r="H269" s="16">
        <f>F269*0.5*0.6+G269*0.4</f>
        <v>75.97</v>
      </c>
    </row>
    <row r="270" spans="1:8" ht="13.5">
      <c r="A270" s="4">
        <v>268</v>
      </c>
      <c r="B270" s="6" t="s">
        <v>29</v>
      </c>
      <c r="C270" s="6" t="str">
        <f>"2020044101"</f>
        <v>2020044101</v>
      </c>
      <c r="D270" s="1">
        <v>71.7</v>
      </c>
      <c r="E270" s="2">
        <v>77</v>
      </c>
      <c r="F270" s="3">
        <f t="shared" si="31"/>
        <v>148.7</v>
      </c>
      <c r="G270" s="1">
        <v>73.8</v>
      </c>
      <c r="H270" s="16">
        <f>F270*0.5*0.6+G270*0.4</f>
        <v>74.13</v>
      </c>
    </row>
    <row r="271" spans="1:8" ht="13.5">
      <c r="A271" s="4">
        <v>269</v>
      </c>
      <c r="B271" s="6" t="s">
        <v>29</v>
      </c>
      <c r="C271" s="6" t="str">
        <f>"2020045628"</f>
        <v>2020045628</v>
      </c>
      <c r="D271" s="1">
        <v>69</v>
      </c>
      <c r="E271" s="2">
        <v>80.5</v>
      </c>
      <c r="F271" s="3">
        <f t="shared" si="31"/>
        <v>149.5</v>
      </c>
      <c r="G271" s="1">
        <v>72.2</v>
      </c>
      <c r="H271" s="16">
        <f>F271*0.5*0.6+G271*0.4</f>
        <v>73.73</v>
      </c>
    </row>
    <row r="272" spans="1:8" ht="13.5">
      <c r="A272" s="4">
        <v>270</v>
      </c>
      <c r="B272" s="6" t="s">
        <v>29</v>
      </c>
      <c r="C272" s="6" t="str">
        <f>"2020013001"</f>
        <v>2020013001</v>
      </c>
      <c r="D272" s="1">
        <v>72</v>
      </c>
      <c r="E272" s="2">
        <v>77</v>
      </c>
      <c r="F272" s="3">
        <f t="shared" si="31"/>
        <v>149</v>
      </c>
      <c r="G272" s="1">
        <v>71.8</v>
      </c>
      <c r="H272" s="16">
        <f>F272*0.5*0.6+G272*0.4</f>
        <v>73.41999999999999</v>
      </c>
    </row>
    <row r="273" spans="1:8" ht="13.5">
      <c r="A273" s="4">
        <v>271</v>
      </c>
      <c r="B273" s="6" t="s">
        <v>29</v>
      </c>
      <c r="C273" s="6" t="str">
        <f>"2020024522"</f>
        <v>2020024522</v>
      </c>
      <c r="D273" s="1">
        <v>70.9</v>
      </c>
      <c r="E273" s="2">
        <v>75</v>
      </c>
      <c r="F273" s="3">
        <f t="shared" si="31"/>
        <v>145.9</v>
      </c>
      <c r="G273" s="9">
        <v>71.7</v>
      </c>
      <c r="H273" s="16">
        <f>F273*0.5*0.6+G273*0.4</f>
        <v>72.45</v>
      </c>
    </row>
    <row r="274" spans="1:8" ht="15.75">
      <c r="A274" s="4">
        <v>272</v>
      </c>
      <c r="B274" s="6" t="s">
        <v>29</v>
      </c>
      <c r="C274" s="6" t="str">
        <f>"2020046619"</f>
        <v>2020046619</v>
      </c>
      <c r="D274" s="1">
        <v>67.4</v>
      </c>
      <c r="E274" s="2">
        <v>81</v>
      </c>
      <c r="F274" s="3">
        <f t="shared" si="31"/>
        <v>148.4</v>
      </c>
      <c r="G274" s="10" t="s">
        <v>232</v>
      </c>
      <c r="H274" s="16">
        <f>F274/2*0.6</f>
        <v>44.52</v>
      </c>
    </row>
    <row r="275" spans="1:8" ht="15.75">
      <c r="A275" s="4">
        <v>273</v>
      </c>
      <c r="B275" s="6" t="s">
        <v>29</v>
      </c>
      <c r="C275" s="6" t="str">
        <f>"2020045801"</f>
        <v>2020045801</v>
      </c>
      <c r="D275" s="1">
        <v>71.9</v>
      </c>
      <c r="E275" s="2">
        <v>74</v>
      </c>
      <c r="F275" s="3">
        <f t="shared" si="31"/>
        <v>145.9</v>
      </c>
      <c r="G275" s="8" t="s">
        <v>232</v>
      </c>
      <c r="H275" s="16">
        <f>F275/2*0.6</f>
        <v>43.77</v>
      </c>
    </row>
    <row r="276" spans="1:8" ht="13.5">
      <c r="A276" s="4">
        <v>274</v>
      </c>
      <c r="B276" s="6" t="s">
        <v>140</v>
      </c>
      <c r="C276" s="6" t="str">
        <f>"2020046404"</f>
        <v>2020046404</v>
      </c>
      <c r="D276" s="1">
        <v>72.2</v>
      </c>
      <c r="E276" s="2">
        <v>84</v>
      </c>
      <c r="F276" s="3">
        <f t="shared" si="31"/>
        <v>156.2</v>
      </c>
      <c r="G276" s="1">
        <v>73.7</v>
      </c>
      <c r="H276" s="16">
        <f>F276*0.5*0.6+G276*0.4</f>
        <v>76.34</v>
      </c>
    </row>
    <row r="277" spans="1:8" ht="13.5">
      <c r="A277" s="4">
        <v>275</v>
      </c>
      <c r="B277" s="6" t="s">
        <v>140</v>
      </c>
      <c r="C277" s="6" t="str">
        <f>"2020041822"</f>
        <v>2020041822</v>
      </c>
      <c r="D277" s="1">
        <v>77.8</v>
      </c>
      <c r="E277" s="2">
        <v>72.5</v>
      </c>
      <c r="F277" s="3">
        <f t="shared" si="31"/>
        <v>150.3</v>
      </c>
      <c r="G277" s="1">
        <v>71.3</v>
      </c>
      <c r="H277" s="16">
        <f>F277*0.5*0.6+G277*0.4</f>
        <v>73.61</v>
      </c>
    </row>
    <row r="278" spans="1:8" ht="15.75">
      <c r="A278" s="4">
        <v>276</v>
      </c>
      <c r="B278" s="6" t="s">
        <v>140</v>
      </c>
      <c r="C278" s="6" t="s">
        <v>199</v>
      </c>
      <c r="D278" s="1">
        <v>75.7</v>
      </c>
      <c r="E278" s="2">
        <v>73.5</v>
      </c>
      <c r="F278" s="7">
        <v>149.2</v>
      </c>
      <c r="G278" s="8" t="s">
        <v>232</v>
      </c>
      <c r="H278" s="16">
        <f>F278/2*0.6</f>
        <v>44.76</v>
      </c>
    </row>
    <row r="279" spans="1:8" ht="13.5">
      <c r="A279" s="4">
        <v>277</v>
      </c>
      <c r="B279" s="6" t="s">
        <v>113</v>
      </c>
      <c r="C279" s="6" t="str">
        <f>"2020031321"</f>
        <v>2020031321</v>
      </c>
      <c r="D279" s="1">
        <v>76.9</v>
      </c>
      <c r="E279" s="2">
        <v>78</v>
      </c>
      <c r="F279" s="3">
        <f aca="true" t="shared" si="32" ref="F279:F298">D279+E279</f>
        <v>154.9</v>
      </c>
      <c r="G279" s="1">
        <v>78.5</v>
      </c>
      <c r="H279" s="16">
        <f>F279*0.5*0.6+G279*0.4</f>
        <v>77.87</v>
      </c>
    </row>
    <row r="280" spans="1:8" ht="13.5">
      <c r="A280" s="4">
        <v>278</v>
      </c>
      <c r="B280" s="6" t="s">
        <v>113</v>
      </c>
      <c r="C280" s="6" t="str">
        <f>"2020012603"</f>
        <v>2020012603</v>
      </c>
      <c r="D280" s="1">
        <v>73.9</v>
      </c>
      <c r="E280" s="2">
        <v>80</v>
      </c>
      <c r="F280" s="3">
        <f t="shared" si="32"/>
        <v>153.9</v>
      </c>
      <c r="G280" s="1">
        <v>73.8</v>
      </c>
      <c r="H280" s="16">
        <f>F280*0.5*0.6+G280*0.4</f>
        <v>75.69</v>
      </c>
    </row>
    <row r="281" spans="1:8" ht="15.75">
      <c r="A281" s="4">
        <v>279</v>
      </c>
      <c r="B281" s="6" t="s">
        <v>113</v>
      </c>
      <c r="C281" s="6" t="str">
        <f>"2020033323"</f>
        <v>2020033323</v>
      </c>
      <c r="D281" s="1">
        <v>71.9</v>
      </c>
      <c r="E281" s="2">
        <v>81</v>
      </c>
      <c r="F281" s="3">
        <f t="shared" si="32"/>
        <v>152.9</v>
      </c>
      <c r="G281" s="8" t="s">
        <v>232</v>
      </c>
      <c r="H281" s="16">
        <f>F281/2*0.6</f>
        <v>45.87</v>
      </c>
    </row>
    <row r="282" spans="1:8" ht="13.5">
      <c r="A282" s="4">
        <v>280</v>
      </c>
      <c r="B282" s="6" t="s">
        <v>94</v>
      </c>
      <c r="C282" s="6" t="str">
        <f>"2020045927"</f>
        <v>2020045927</v>
      </c>
      <c r="D282" s="1">
        <v>67</v>
      </c>
      <c r="E282" s="2">
        <v>83.5</v>
      </c>
      <c r="F282" s="3">
        <f t="shared" si="32"/>
        <v>150.5</v>
      </c>
      <c r="G282" s="1">
        <v>76.1</v>
      </c>
      <c r="H282" s="16">
        <f aca="true" t="shared" si="33" ref="H282:H289">F282*0.5*0.6+G282*0.4</f>
        <v>75.59</v>
      </c>
    </row>
    <row r="283" spans="1:8" ht="13.5">
      <c r="A283" s="4">
        <v>281</v>
      </c>
      <c r="B283" s="6" t="s">
        <v>94</v>
      </c>
      <c r="C283" s="6" t="str">
        <f>"2020042525"</f>
        <v>2020042525</v>
      </c>
      <c r="D283" s="1">
        <v>70.2</v>
      </c>
      <c r="E283" s="2">
        <v>77.5</v>
      </c>
      <c r="F283" s="3">
        <f t="shared" si="32"/>
        <v>147.7</v>
      </c>
      <c r="G283" s="1">
        <v>72.5</v>
      </c>
      <c r="H283" s="16">
        <f t="shared" si="33"/>
        <v>73.31</v>
      </c>
    </row>
    <row r="284" spans="1:8" ht="13.5">
      <c r="A284" s="4">
        <v>282</v>
      </c>
      <c r="B284" s="6" t="s">
        <v>94</v>
      </c>
      <c r="C284" s="6" t="str">
        <f>"2020044313"</f>
        <v>2020044313</v>
      </c>
      <c r="D284" s="1">
        <v>74.3</v>
      </c>
      <c r="E284" s="2">
        <v>65.5</v>
      </c>
      <c r="F284" s="3">
        <f t="shared" si="32"/>
        <v>139.8</v>
      </c>
      <c r="G284" s="1">
        <v>72</v>
      </c>
      <c r="H284" s="16">
        <f t="shared" si="33"/>
        <v>70.74000000000001</v>
      </c>
    </row>
    <row r="285" spans="1:8" ht="13.5">
      <c r="A285" s="4">
        <v>283</v>
      </c>
      <c r="B285" s="6" t="s">
        <v>139</v>
      </c>
      <c r="C285" s="6" t="str">
        <f>"2020041623"</f>
        <v>2020041623</v>
      </c>
      <c r="D285" s="1">
        <v>64.9</v>
      </c>
      <c r="E285" s="2">
        <v>84.5</v>
      </c>
      <c r="F285" s="3">
        <f t="shared" si="32"/>
        <v>149.4</v>
      </c>
      <c r="G285" s="1">
        <v>72</v>
      </c>
      <c r="H285" s="16">
        <f t="shared" si="33"/>
        <v>73.62</v>
      </c>
    </row>
    <row r="286" spans="1:8" ht="13.5">
      <c r="A286" s="4">
        <v>284</v>
      </c>
      <c r="B286" s="6" t="s">
        <v>139</v>
      </c>
      <c r="C286" s="6" t="str">
        <f>"2020041310"</f>
        <v>2020041310</v>
      </c>
      <c r="D286" s="1">
        <v>73.8</v>
      </c>
      <c r="E286" s="2">
        <v>71.5</v>
      </c>
      <c r="F286" s="3">
        <f t="shared" si="32"/>
        <v>145.3</v>
      </c>
      <c r="G286" s="1">
        <v>72.8</v>
      </c>
      <c r="H286" s="16">
        <f t="shared" si="33"/>
        <v>72.71000000000001</v>
      </c>
    </row>
    <row r="287" spans="1:8" ht="13.5">
      <c r="A287" s="4">
        <v>285</v>
      </c>
      <c r="B287" s="6" t="s">
        <v>139</v>
      </c>
      <c r="C287" s="6" t="str">
        <f>"2020020103"</f>
        <v>2020020103</v>
      </c>
      <c r="D287" s="1">
        <v>69.7</v>
      </c>
      <c r="E287" s="2">
        <v>75</v>
      </c>
      <c r="F287" s="3">
        <f t="shared" si="32"/>
        <v>144.7</v>
      </c>
      <c r="G287" s="1">
        <v>71.4</v>
      </c>
      <c r="H287" s="16">
        <f t="shared" si="33"/>
        <v>71.97</v>
      </c>
    </row>
    <row r="288" spans="1:8" ht="13.5">
      <c r="A288" s="4">
        <v>286</v>
      </c>
      <c r="B288" s="6" t="s">
        <v>139</v>
      </c>
      <c r="C288" s="6" t="str">
        <f>"2020041217"</f>
        <v>2020041217</v>
      </c>
      <c r="D288" s="1">
        <v>70.2</v>
      </c>
      <c r="E288" s="2">
        <v>72.5</v>
      </c>
      <c r="F288" s="3">
        <f t="shared" si="32"/>
        <v>142.7</v>
      </c>
      <c r="G288" s="9">
        <v>72.8</v>
      </c>
      <c r="H288" s="16">
        <f t="shared" si="33"/>
        <v>71.92999999999999</v>
      </c>
    </row>
    <row r="289" spans="1:8" ht="13.5">
      <c r="A289" s="4">
        <v>287</v>
      </c>
      <c r="B289" s="6" t="s">
        <v>139</v>
      </c>
      <c r="C289" s="6" t="str">
        <f>"2020013205"</f>
        <v>2020013205</v>
      </c>
      <c r="D289" s="1">
        <v>76.5</v>
      </c>
      <c r="E289" s="2">
        <v>65.5</v>
      </c>
      <c r="F289" s="3">
        <f t="shared" si="32"/>
        <v>142</v>
      </c>
      <c r="G289" s="1">
        <v>67.4</v>
      </c>
      <c r="H289" s="16">
        <f t="shared" si="33"/>
        <v>69.56</v>
      </c>
    </row>
    <row r="290" spans="1:8" ht="15.75">
      <c r="A290" s="4">
        <v>288</v>
      </c>
      <c r="B290" s="6" t="s">
        <v>139</v>
      </c>
      <c r="C290" s="6" t="str">
        <f>"2020044607"</f>
        <v>2020044607</v>
      </c>
      <c r="D290" s="1">
        <v>77.1</v>
      </c>
      <c r="E290" s="2">
        <v>66.5</v>
      </c>
      <c r="F290" s="3">
        <f t="shared" si="32"/>
        <v>143.6</v>
      </c>
      <c r="G290" s="10" t="s">
        <v>232</v>
      </c>
      <c r="H290" s="16">
        <f>F290/2*0.6</f>
        <v>43.08</v>
      </c>
    </row>
    <row r="291" spans="1:8" ht="15.75">
      <c r="A291" s="4">
        <v>289</v>
      </c>
      <c r="B291" s="6" t="s">
        <v>56</v>
      </c>
      <c r="C291" s="6" t="str">
        <f>"2020033910"</f>
        <v>2020033910</v>
      </c>
      <c r="D291" s="1">
        <v>80.2</v>
      </c>
      <c r="E291" s="2">
        <v>85.5</v>
      </c>
      <c r="F291" s="3">
        <f t="shared" si="32"/>
        <v>165.7</v>
      </c>
      <c r="G291" s="8" t="s">
        <v>232</v>
      </c>
      <c r="H291" s="16">
        <f>F291/2*0.6</f>
        <v>49.709999999999994</v>
      </c>
    </row>
    <row r="292" spans="1:8" ht="15.75">
      <c r="A292" s="4">
        <v>290</v>
      </c>
      <c r="B292" s="6" t="s">
        <v>56</v>
      </c>
      <c r="C292" s="6" t="str">
        <f>"2020046815"</f>
        <v>2020046815</v>
      </c>
      <c r="D292" s="1">
        <v>60.8</v>
      </c>
      <c r="E292" s="2">
        <v>79</v>
      </c>
      <c r="F292" s="3">
        <f t="shared" si="32"/>
        <v>139.8</v>
      </c>
      <c r="G292" s="8" t="s">
        <v>232</v>
      </c>
      <c r="H292" s="16">
        <f>F292/2*0.6</f>
        <v>41.940000000000005</v>
      </c>
    </row>
    <row r="293" spans="1:8" ht="13.5">
      <c r="A293" s="4">
        <v>291</v>
      </c>
      <c r="B293" s="6" t="s">
        <v>171</v>
      </c>
      <c r="C293" s="6" t="str">
        <f>"2020031805"</f>
        <v>2020031805</v>
      </c>
      <c r="D293" s="1">
        <v>72</v>
      </c>
      <c r="E293" s="2">
        <v>72.5</v>
      </c>
      <c r="F293" s="3">
        <f t="shared" si="32"/>
        <v>144.5</v>
      </c>
      <c r="G293" s="1">
        <v>80</v>
      </c>
      <c r="H293" s="16">
        <f aca="true" t="shared" si="34" ref="H293:H320">F293*0.5*0.6+G293*0.4</f>
        <v>75.35</v>
      </c>
    </row>
    <row r="294" spans="1:8" ht="13.5">
      <c r="A294" s="4">
        <v>292</v>
      </c>
      <c r="B294" s="6" t="s">
        <v>171</v>
      </c>
      <c r="C294" s="6" t="str">
        <f>"2020023506"</f>
        <v>2020023506</v>
      </c>
      <c r="D294" s="1">
        <v>65.5</v>
      </c>
      <c r="E294" s="2">
        <v>81.5</v>
      </c>
      <c r="F294" s="3">
        <f t="shared" si="32"/>
        <v>147</v>
      </c>
      <c r="G294" s="1">
        <v>77.8</v>
      </c>
      <c r="H294" s="16">
        <f t="shared" si="34"/>
        <v>75.22</v>
      </c>
    </row>
    <row r="295" spans="1:8" ht="13.5">
      <c r="A295" s="4">
        <v>293</v>
      </c>
      <c r="B295" s="6" t="s">
        <v>171</v>
      </c>
      <c r="C295" s="6" t="str">
        <f>"2020041018"</f>
        <v>2020041018</v>
      </c>
      <c r="D295" s="1">
        <v>71.9</v>
      </c>
      <c r="E295" s="2">
        <v>72.5</v>
      </c>
      <c r="F295" s="3">
        <f t="shared" si="32"/>
        <v>144.4</v>
      </c>
      <c r="G295" s="1">
        <v>74.8</v>
      </c>
      <c r="H295" s="16">
        <f t="shared" si="34"/>
        <v>73.24000000000001</v>
      </c>
    </row>
    <row r="296" spans="1:8" ht="13.5">
      <c r="A296" s="4">
        <v>294</v>
      </c>
      <c r="B296" s="6" t="s">
        <v>39</v>
      </c>
      <c r="C296" s="6" t="str">
        <f>"2020047425"</f>
        <v>2020047425</v>
      </c>
      <c r="D296" s="1">
        <v>75.7</v>
      </c>
      <c r="E296" s="2">
        <v>84.5</v>
      </c>
      <c r="F296" s="3">
        <f t="shared" si="32"/>
        <v>160.2</v>
      </c>
      <c r="G296" s="1">
        <v>73.8</v>
      </c>
      <c r="H296" s="16">
        <f t="shared" si="34"/>
        <v>77.58</v>
      </c>
    </row>
    <row r="297" spans="1:8" ht="13.5">
      <c r="A297" s="4">
        <v>295</v>
      </c>
      <c r="B297" s="6" t="s">
        <v>39</v>
      </c>
      <c r="C297" s="6" t="str">
        <f>"2020012214"</f>
        <v>2020012214</v>
      </c>
      <c r="D297" s="1">
        <v>73.1</v>
      </c>
      <c r="E297" s="2">
        <v>78.5</v>
      </c>
      <c r="F297" s="3">
        <f t="shared" si="32"/>
        <v>151.6</v>
      </c>
      <c r="G297" s="1">
        <v>57.8</v>
      </c>
      <c r="H297" s="16">
        <f t="shared" si="34"/>
        <v>68.6</v>
      </c>
    </row>
    <row r="298" spans="1:8" ht="13.5">
      <c r="A298" s="4">
        <v>296</v>
      </c>
      <c r="B298" s="6" t="s">
        <v>46</v>
      </c>
      <c r="C298" s="6" t="str">
        <f>"2020045124"</f>
        <v>2020045124</v>
      </c>
      <c r="D298" s="1">
        <v>74.8</v>
      </c>
      <c r="E298" s="2">
        <v>75.5</v>
      </c>
      <c r="F298" s="3">
        <f t="shared" si="32"/>
        <v>150.3</v>
      </c>
      <c r="G298" s="1">
        <v>83</v>
      </c>
      <c r="H298" s="16">
        <f t="shared" si="34"/>
        <v>78.29</v>
      </c>
    </row>
    <row r="299" spans="1:8" ht="13.5">
      <c r="A299" s="4">
        <v>297</v>
      </c>
      <c r="B299" s="6" t="s">
        <v>46</v>
      </c>
      <c r="C299" s="6" t="s">
        <v>200</v>
      </c>
      <c r="D299" s="1">
        <v>68.7</v>
      </c>
      <c r="E299" s="2">
        <v>78.5</v>
      </c>
      <c r="F299" s="7">
        <v>147.2</v>
      </c>
      <c r="G299" s="1">
        <v>79.2</v>
      </c>
      <c r="H299" s="16">
        <f t="shared" si="34"/>
        <v>75.84</v>
      </c>
    </row>
    <row r="300" spans="1:8" ht="13.5">
      <c r="A300" s="4">
        <v>298</v>
      </c>
      <c r="B300" s="6" t="s">
        <v>46</v>
      </c>
      <c r="C300" s="6" t="str">
        <f>"2020045221"</f>
        <v>2020045221</v>
      </c>
      <c r="D300" s="1">
        <v>75.8</v>
      </c>
      <c r="E300" s="2">
        <v>74</v>
      </c>
      <c r="F300" s="3">
        <f aca="true" t="shared" si="35" ref="F300:F317">D300+E300</f>
        <v>149.8</v>
      </c>
      <c r="G300" s="1">
        <v>75.1</v>
      </c>
      <c r="H300" s="16">
        <f t="shared" si="34"/>
        <v>74.98</v>
      </c>
    </row>
    <row r="301" spans="1:8" ht="13.5">
      <c r="A301" s="4">
        <v>299</v>
      </c>
      <c r="B301" s="6" t="s">
        <v>158</v>
      </c>
      <c r="C301" s="6" t="str">
        <f>"2020044011"</f>
        <v>2020044011</v>
      </c>
      <c r="D301" s="1">
        <v>68.3</v>
      </c>
      <c r="E301" s="2">
        <v>63</v>
      </c>
      <c r="F301" s="3">
        <f t="shared" si="35"/>
        <v>131.3</v>
      </c>
      <c r="G301" s="1">
        <v>73.6</v>
      </c>
      <c r="H301" s="16">
        <f t="shared" si="34"/>
        <v>68.83</v>
      </c>
    </row>
    <row r="302" spans="1:8" ht="13.5">
      <c r="A302" s="4">
        <v>300</v>
      </c>
      <c r="B302" s="6" t="s">
        <v>147</v>
      </c>
      <c r="C302" s="6" t="str">
        <f>"2020042113"</f>
        <v>2020042113</v>
      </c>
      <c r="D302" s="1">
        <v>75.4</v>
      </c>
      <c r="E302" s="2">
        <v>84.5</v>
      </c>
      <c r="F302" s="3">
        <f t="shared" si="35"/>
        <v>159.9</v>
      </c>
      <c r="G302" s="1">
        <v>79.8</v>
      </c>
      <c r="H302" s="16">
        <f t="shared" si="34"/>
        <v>79.89</v>
      </c>
    </row>
    <row r="303" spans="1:8" ht="13.5">
      <c r="A303" s="4">
        <v>301</v>
      </c>
      <c r="B303" s="6" t="s">
        <v>147</v>
      </c>
      <c r="C303" s="6" t="str">
        <f>"2020010529"</f>
        <v>2020010529</v>
      </c>
      <c r="D303" s="1">
        <v>78.6</v>
      </c>
      <c r="E303" s="2">
        <v>80</v>
      </c>
      <c r="F303" s="3">
        <f t="shared" si="35"/>
        <v>158.6</v>
      </c>
      <c r="G303" s="1">
        <v>75.8</v>
      </c>
      <c r="H303" s="16">
        <f t="shared" si="34"/>
        <v>77.9</v>
      </c>
    </row>
    <row r="304" spans="1:8" ht="13.5">
      <c r="A304" s="4">
        <v>302</v>
      </c>
      <c r="B304" s="6" t="s">
        <v>147</v>
      </c>
      <c r="C304" s="6" t="str">
        <f>"2020047004"</f>
        <v>2020047004</v>
      </c>
      <c r="D304" s="1">
        <v>70.2</v>
      </c>
      <c r="E304" s="2">
        <v>72</v>
      </c>
      <c r="F304" s="3">
        <f t="shared" si="35"/>
        <v>142.2</v>
      </c>
      <c r="G304" s="1">
        <v>76.1</v>
      </c>
      <c r="H304" s="16">
        <f t="shared" si="34"/>
        <v>73.1</v>
      </c>
    </row>
    <row r="305" spans="1:8" ht="13.5">
      <c r="A305" s="4">
        <v>303</v>
      </c>
      <c r="B305" s="6" t="s">
        <v>165</v>
      </c>
      <c r="C305" s="6" t="str">
        <f>"2020045101"</f>
        <v>2020045101</v>
      </c>
      <c r="D305" s="1">
        <v>77.8</v>
      </c>
      <c r="E305" s="2">
        <v>67</v>
      </c>
      <c r="F305" s="3">
        <f t="shared" si="35"/>
        <v>144.8</v>
      </c>
      <c r="G305" s="1">
        <v>72.4</v>
      </c>
      <c r="H305" s="16">
        <f t="shared" si="34"/>
        <v>72.4</v>
      </c>
    </row>
    <row r="306" spans="1:8" ht="13.5">
      <c r="A306" s="4">
        <v>304</v>
      </c>
      <c r="B306" s="6" t="s">
        <v>165</v>
      </c>
      <c r="C306" s="6" t="str">
        <f>"2020045325"</f>
        <v>2020045325</v>
      </c>
      <c r="D306" s="1">
        <v>62.6</v>
      </c>
      <c r="E306" s="2">
        <v>82.5</v>
      </c>
      <c r="F306" s="3">
        <f t="shared" si="35"/>
        <v>145.1</v>
      </c>
      <c r="G306" s="1">
        <v>71</v>
      </c>
      <c r="H306" s="16">
        <f t="shared" si="34"/>
        <v>71.92999999999999</v>
      </c>
    </row>
    <row r="307" spans="1:8" ht="13.5">
      <c r="A307" s="4">
        <v>305</v>
      </c>
      <c r="B307" s="6" t="s">
        <v>165</v>
      </c>
      <c r="C307" s="6" t="str">
        <f>"2020034008"</f>
        <v>2020034008</v>
      </c>
      <c r="D307" s="1">
        <v>71.9</v>
      </c>
      <c r="E307" s="2">
        <v>66.5</v>
      </c>
      <c r="F307" s="3">
        <f t="shared" si="35"/>
        <v>138.4</v>
      </c>
      <c r="G307" s="1">
        <v>72.4</v>
      </c>
      <c r="H307" s="16">
        <f t="shared" si="34"/>
        <v>70.48</v>
      </c>
    </row>
    <row r="308" spans="1:8" ht="13.5">
      <c r="A308" s="4">
        <v>306</v>
      </c>
      <c r="B308" s="6" t="s">
        <v>79</v>
      </c>
      <c r="C308" s="6" t="str">
        <f>"2020044820"</f>
        <v>2020044820</v>
      </c>
      <c r="D308" s="1">
        <v>78.2</v>
      </c>
      <c r="E308" s="2">
        <v>74.5</v>
      </c>
      <c r="F308" s="3">
        <f t="shared" si="35"/>
        <v>152.7</v>
      </c>
      <c r="G308" s="1">
        <v>75.2</v>
      </c>
      <c r="H308" s="16">
        <f t="shared" si="34"/>
        <v>75.89</v>
      </c>
    </row>
    <row r="309" spans="1:8" ht="13.5">
      <c r="A309" s="4">
        <v>307</v>
      </c>
      <c r="B309" s="6" t="s">
        <v>79</v>
      </c>
      <c r="C309" s="6" t="str">
        <f>"2020031404"</f>
        <v>2020031404</v>
      </c>
      <c r="D309" s="1">
        <v>77.5</v>
      </c>
      <c r="E309" s="2">
        <v>73</v>
      </c>
      <c r="F309" s="3">
        <f t="shared" si="35"/>
        <v>150.5</v>
      </c>
      <c r="G309" s="1">
        <v>73.6</v>
      </c>
      <c r="H309" s="16">
        <f t="shared" si="34"/>
        <v>74.59</v>
      </c>
    </row>
    <row r="310" spans="1:8" ht="13.5">
      <c r="A310" s="4">
        <v>308</v>
      </c>
      <c r="B310" s="6" t="s">
        <v>79</v>
      </c>
      <c r="C310" s="6" t="str">
        <f>"2020040425"</f>
        <v>2020040425</v>
      </c>
      <c r="D310" s="1">
        <v>71.1</v>
      </c>
      <c r="E310" s="2">
        <v>73.5</v>
      </c>
      <c r="F310" s="3">
        <f t="shared" si="35"/>
        <v>144.6</v>
      </c>
      <c r="G310" s="1">
        <v>71.8</v>
      </c>
      <c r="H310" s="16">
        <f t="shared" si="34"/>
        <v>72.1</v>
      </c>
    </row>
    <row r="311" spans="1:8" ht="13.5">
      <c r="A311" s="4">
        <v>309</v>
      </c>
      <c r="B311" s="6" t="s">
        <v>106</v>
      </c>
      <c r="C311" s="6" t="str">
        <f>"2020022027"</f>
        <v>2020022027</v>
      </c>
      <c r="D311" s="1">
        <v>71.8</v>
      </c>
      <c r="E311" s="2">
        <v>75.5</v>
      </c>
      <c r="F311" s="3">
        <f t="shared" si="35"/>
        <v>147.3</v>
      </c>
      <c r="G311" s="1">
        <v>75.5</v>
      </c>
      <c r="H311" s="16">
        <f t="shared" si="34"/>
        <v>74.39000000000001</v>
      </c>
    </row>
    <row r="312" spans="1:8" ht="13.5">
      <c r="A312" s="4">
        <v>310</v>
      </c>
      <c r="B312" s="6" t="s">
        <v>106</v>
      </c>
      <c r="C312" s="6" t="str">
        <f>"2020010927"</f>
        <v>2020010927</v>
      </c>
      <c r="D312" s="1">
        <v>72.5</v>
      </c>
      <c r="E312" s="2">
        <v>71</v>
      </c>
      <c r="F312" s="3">
        <f t="shared" si="35"/>
        <v>143.5</v>
      </c>
      <c r="G312" s="1">
        <v>75.8</v>
      </c>
      <c r="H312" s="16">
        <f t="shared" si="34"/>
        <v>73.37</v>
      </c>
    </row>
    <row r="313" spans="1:8" ht="13.5">
      <c r="A313" s="4">
        <v>311</v>
      </c>
      <c r="B313" s="6" t="s">
        <v>152</v>
      </c>
      <c r="C313" s="6" t="str">
        <f>"2020032309"</f>
        <v>2020032309</v>
      </c>
      <c r="D313" s="1">
        <v>79.9</v>
      </c>
      <c r="E313" s="2">
        <v>77</v>
      </c>
      <c r="F313" s="3">
        <f t="shared" si="35"/>
        <v>156.9</v>
      </c>
      <c r="G313" s="1">
        <v>76.3</v>
      </c>
      <c r="H313" s="16">
        <f t="shared" si="34"/>
        <v>77.59</v>
      </c>
    </row>
    <row r="314" spans="1:8" ht="13.5">
      <c r="A314" s="4">
        <v>312</v>
      </c>
      <c r="B314" s="6" t="s">
        <v>152</v>
      </c>
      <c r="C314" s="6" t="str">
        <f>"2020011813"</f>
        <v>2020011813</v>
      </c>
      <c r="D314" s="1">
        <v>71.8</v>
      </c>
      <c r="E314" s="2">
        <v>73</v>
      </c>
      <c r="F314" s="3">
        <f t="shared" si="35"/>
        <v>144.8</v>
      </c>
      <c r="G314" s="1">
        <v>72.6</v>
      </c>
      <c r="H314" s="16">
        <f t="shared" si="34"/>
        <v>72.48</v>
      </c>
    </row>
    <row r="315" spans="1:8" ht="13.5">
      <c r="A315" s="4">
        <v>313</v>
      </c>
      <c r="B315" s="6" t="s">
        <v>152</v>
      </c>
      <c r="C315" s="6" t="str">
        <f>"2020033002"</f>
        <v>2020033002</v>
      </c>
      <c r="D315" s="1">
        <v>59.1</v>
      </c>
      <c r="E315" s="2">
        <v>79</v>
      </c>
      <c r="F315" s="3">
        <f t="shared" si="35"/>
        <v>138.1</v>
      </c>
      <c r="G315" s="1">
        <v>72.8</v>
      </c>
      <c r="H315" s="16">
        <f t="shared" si="34"/>
        <v>70.55</v>
      </c>
    </row>
    <row r="316" spans="1:8" ht="13.5">
      <c r="A316" s="4">
        <v>314</v>
      </c>
      <c r="B316" s="6" t="s">
        <v>33</v>
      </c>
      <c r="C316" s="6" t="str">
        <f>"2020011718"</f>
        <v>2020011718</v>
      </c>
      <c r="D316" s="1">
        <v>68.9</v>
      </c>
      <c r="E316" s="2">
        <v>89.5</v>
      </c>
      <c r="F316" s="3">
        <f t="shared" si="35"/>
        <v>158.4</v>
      </c>
      <c r="G316" s="1">
        <v>75</v>
      </c>
      <c r="H316" s="16">
        <f t="shared" si="34"/>
        <v>77.52000000000001</v>
      </c>
    </row>
    <row r="317" spans="1:8" ht="13.5">
      <c r="A317" s="4">
        <v>315</v>
      </c>
      <c r="B317" s="6" t="s">
        <v>33</v>
      </c>
      <c r="C317" s="6" t="str">
        <f>"2020020509"</f>
        <v>2020020509</v>
      </c>
      <c r="D317" s="1">
        <v>71.5</v>
      </c>
      <c r="E317" s="2">
        <v>88.5</v>
      </c>
      <c r="F317" s="3">
        <f t="shared" si="35"/>
        <v>160</v>
      </c>
      <c r="G317" s="1">
        <v>73.6</v>
      </c>
      <c r="H317" s="16">
        <f t="shared" si="34"/>
        <v>77.44</v>
      </c>
    </row>
    <row r="318" spans="1:8" ht="13.5">
      <c r="A318" s="4">
        <v>316</v>
      </c>
      <c r="B318" s="6" t="s">
        <v>33</v>
      </c>
      <c r="C318" s="6" t="s">
        <v>201</v>
      </c>
      <c r="D318" s="1">
        <v>72.3</v>
      </c>
      <c r="E318" s="2">
        <v>79.5</v>
      </c>
      <c r="F318" s="7">
        <v>151.8</v>
      </c>
      <c r="G318" s="1">
        <v>73.6</v>
      </c>
      <c r="H318" s="16">
        <f t="shared" si="34"/>
        <v>74.97999999999999</v>
      </c>
    </row>
    <row r="319" spans="1:8" ht="13.5">
      <c r="A319" s="4">
        <v>317</v>
      </c>
      <c r="B319" s="6" t="s">
        <v>88</v>
      </c>
      <c r="C319" s="6" t="str">
        <f>"2020046415"</f>
        <v>2020046415</v>
      </c>
      <c r="D319" s="1">
        <v>79.3</v>
      </c>
      <c r="E319" s="2">
        <v>86</v>
      </c>
      <c r="F319" s="3">
        <f>D319+E319</f>
        <v>165.3</v>
      </c>
      <c r="G319" s="1">
        <v>76.3</v>
      </c>
      <c r="H319" s="16">
        <f t="shared" si="34"/>
        <v>80.11</v>
      </c>
    </row>
    <row r="320" spans="1:8" ht="13.5">
      <c r="A320" s="4">
        <v>318</v>
      </c>
      <c r="B320" s="6" t="s">
        <v>88</v>
      </c>
      <c r="C320" s="6" t="str">
        <f>"2020044128"</f>
        <v>2020044128</v>
      </c>
      <c r="D320" s="1">
        <v>74.6</v>
      </c>
      <c r="E320" s="2">
        <v>80</v>
      </c>
      <c r="F320" s="3">
        <f>D320+E320</f>
        <v>154.6</v>
      </c>
      <c r="G320" s="9">
        <v>71.2</v>
      </c>
      <c r="H320" s="16">
        <f t="shared" si="34"/>
        <v>74.86</v>
      </c>
    </row>
    <row r="321" spans="1:8" ht="15.75">
      <c r="A321" s="4">
        <v>319</v>
      </c>
      <c r="B321" s="6" t="s">
        <v>88</v>
      </c>
      <c r="C321" s="6" t="str">
        <f>"2020041503"</f>
        <v>2020041503</v>
      </c>
      <c r="D321" s="1">
        <v>71.1</v>
      </c>
      <c r="E321" s="2">
        <v>84.5</v>
      </c>
      <c r="F321" s="3">
        <f>D321+E321</f>
        <v>155.6</v>
      </c>
      <c r="G321" s="10" t="s">
        <v>232</v>
      </c>
      <c r="H321" s="16">
        <f>F321/2*0.6</f>
        <v>46.68</v>
      </c>
    </row>
    <row r="322" spans="1:8" ht="13.5">
      <c r="A322" s="4">
        <v>320</v>
      </c>
      <c r="B322" s="6" t="s">
        <v>115</v>
      </c>
      <c r="C322" s="6" t="str">
        <f>"2020042216"</f>
        <v>2020042216</v>
      </c>
      <c r="D322" s="1">
        <v>74</v>
      </c>
      <c r="E322" s="2">
        <v>78.5</v>
      </c>
      <c r="F322" s="3">
        <f>D322+E322</f>
        <v>152.5</v>
      </c>
      <c r="G322" s="1">
        <v>73.6</v>
      </c>
      <c r="H322" s="16">
        <f aca="true" t="shared" si="36" ref="H322:H329">F322*0.5*0.6+G322*0.4</f>
        <v>75.19</v>
      </c>
    </row>
    <row r="323" spans="1:8" ht="13.5">
      <c r="A323" s="4">
        <v>321</v>
      </c>
      <c r="B323" s="6" t="s">
        <v>115</v>
      </c>
      <c r="C323" s="6" t="s">
        <v>203</v>
      </c>
      <c r="D323" s="1">
        <v>71.6</v>
      </c>
      <c r="E323" s="2">
        <v>72.5</v>
      </c>
      <c r="F323" s="7">
        <v>144.1</v>
      </c>
      <c r="G323" s="1">
        <v>73.8</v>
      </c>
      <c r="H323" s="16">
        <f t="shared" si="36"/>
        <v>72.75</v>
      </c>
    </row>
    <row r="324" spans="1:8" ht="13.5">
      <c r="A324" s="4">
        <v>322</v>
      </c>
      <c r="B324" s="6" t="s">
        <v>115</v>
      </c>
      <c r="C324" s="6" t="s">
        <v>202</v>
      </c>
      <c r="D324" s="1">
        <v>65.3</v>
      </c>
      <c r="E324" s="2">
        <v>80.5</v>
      </c>
      <c r="F324" s="7">
        <v>145.8</v>
      </c>
      <c r="G324" s="1">
        <v>72.1</v>
      </c>
      <c r="H324" s="16">
        <f t="shared" si="36"/>
        <v>72.58</v>
      </c>
    </row>
    <row r="325" spans="1:8" ht="13.5">
      <c r="A325" s="4">
        <v>323</v>
      </c>
      <c r="B325" s="6" t="s">
        <v>89</v>
      </c>
      <c r="C325" s="6" t="str">
        <f>"2020044214"</f>
        <v>2020044214</v>
      </c>
      <c r="D325" s="1">
        <v>79.1</v>
      </c>
      <c r="E325" s="2">
        <v>83.5</v>
      </c>
      <c r="F325" s="3">
        <f>D325+E325</f>
        <v>162.6</v>
      </c>
      <c r="G325" s="1">
        <v>75.2</v>
      </c>
      <c r="H325" s="16">
        <f t="shared" si="36"/>
        <v>78.86</v>
      </c>
    </row>
    <row r="326" spans="1:8" ht="13.5">
      <c r="A326" s="4">
        <v>324</v>
      </c>
      <c r="B326" s="6" t="s">
        <v>89</v>
      </c>
      <c r="C326" s="6" t="str">
        <f>"2020024418"</f>
        <v>2020024418</v>
      </c>
      <c r="D326" s="1">
        <v>79.3</v>
      </c>
      <c r="E326" s="2">
        <v>73</v>
      </c>
      <c r="F326" s="3">
        <f>D326+E326</f>
        <v>152.3</v>
      </c>
      <c r="G326" s="1">
        <v>72.8</v>
      </c>
      <c r="H326" s="16">
        <f t="shared" si="36"/>
        <v>74.81</v>
      </c>
    </row>
    <row r="327" spans="1:8" ht="13.5">
      <c r="A327" s="4">
        <v>325</v>
      </c>
      <c r="B327" s="6" t="s">
        <v>89</v>
      </c>
      <c r="C327" s="6" t="s">
        <v>204</v>
      </c>
      <c r="D327" s="1">
        <v>64.7</v>
      </c>
      <c r="E327" s="2">
        <v>81</v>
      </c>
      <c r="F327" s="7">
        <v>145.7</v>
      </c>
      <c r="G327" s="1">
        <v>74.8</v>
      </c>
      <c r="H327" s="16">
        <f t="shared" si="36"/>
        <v>73.63</v>
      </c>
    </row>
    <row r="328" spans="1:8" ht="13.5">
      <c r="A328" s="4">
        <v>326</v>
      </c>
      <c r="B328" s="6" t="s">
        <v>36</v>
      </c>
      <c r="C328" s="6" t="str">
        <f>"2020020201"</f>
        <v>2020020201</v>
      </c>
      <c r="D328" s="1">
        <v>74.7</v>
      </c>
      <c r="E328" s="2">
        <v>80.5</v>
      </c>
      <c r="F328" s="3">
        <f aca="true" t="shared" si="37" ref="F328:F344">D328+E328</f>
        <v>155.2</v>
      </c>
      <c r="G328" s="9">
        <v>73.3</v>
      </c>
      <c r="H328" s="16">
        <f t="shared" si="36"/>
        <v>75.88</v>
      </c>
    </row>
    <row r="329" spans="1:8" ht="13.5">
      <c r="A329" s="4">
        <v>327</v>
      </c>
      <c r="B329" s="6" t="s">
        <v>36</v>
      </c>
      <c r="C329" s="6" t="str">
        <f>"2020031002"</f>
        <v>2020031002</v>
      </c>
      <c r="D329" s="1">
        <v>77.1</v>
      </c>
      <c r="E329" s="2">
        <v>75.5</v>
      </c>
      <c r="F329" s="3">
        <f t="shared" si="37"/>
        <v>152.6</v>
      </c>
      <c r="G329" s="1">
        <v>74.8</v>
      </c>
      <c r="H329" s="16">
        <f t="shared" si="36"/>
        <v>75.69999999999999</v>
      </c>
    </row>
    <row r="330" spans="1:8" ht="15.75">
      <c r="A330" s="4">
        <v>328</v>
      </c>
      <c r="B330" s="6" t="s">
        <v>36</v>
      </c>
      <c r="C330" s="6" t="str">
        <f>"2020041323"</f>
        <v>2020041323</v>
      </c>
      <c r="D330" s="1">
        <v>82.3</v>
      </c>
      <c r="E330" s="2">
        <v>91</v>
      </c>
      <c r="F330" s="3">
        <f t="shared" si="37"/>
        <v>173.3</v>
      </c>
      <c r="G330" s="10" t="s">
        <v>232</v>
      </c>
      <c r="H330" s="16">
        <f>F330/2*0.6</f>
        <v>51.99</v>
      </c>
    </row>
    <row r="331" spans="1:8" ht="13.5">
      <c r="A331" s="4">
        <v>329</v>
      </c>
      <c r="B331" s="6" t="s">
        <v>141</v>
      </c>
      <c r="C331" s="6" t="str">
        <f>"2020023601"</f>
        <v>2020023601</v>
      </c>
      <c r="D331" s="1">
        <v>61.2</v>
      </c>
      <c r="E331" s="2">
        <v>68.5</v>
      </c>
      <c r="F331" s="3">
        <f t="shared" si="37"/>
        <v>129.7</v>
      </c>
      <c r="G331" s="1">
        <v>78.9</v>
      </c>
      <c r="H331" s="16">
        <f>F331*0.5*0.6+G331*0.4</f>
        <v>70.47</v>
      </c>
    </row>
    <row r="332" spans="1:8" ht="13.5">
      <c r="A332" s="4">
        <v>330</v>
      </c>
      <c r="B332" s="6" t="s">
        <v>90</v>
      </c>
      <c r="C332" s="6" t="str">
        <f>"2020014020"</f>
        <v>2020014020</v>
      </c>
      <c r="D332" s="1">
        <v>63.2</v>
      </c>
      <c r="E332" s="2">
        <v>62.5</v>
      </c>
      <c r="F332" s="3">
        <f t="shared" si="37"/>
        <v>125.7</v>
      </c>
      <c r="G332" s="1">
        <v>75.6</v>
      </c>
      <c r="H332" s="16">
        <f>F332*0.5*0.6+G332*0.4</f>
        <v>67.95</v>
      </c>
    </row>
    <row r="333" spans="1:8" ht="13.5">
      <c r="A333" s="4">
        <v>331</v>
      </c>
      <c r="B333" s="6" t="s">
        <v>90</v>
      </c>
      <c r="C333" s="6" t="str">
        <f>"2020044312"</f>
        <v>2020044312</v>
      </c>
      <c r="D333" s="1">
        <v>61.4</v>
      </c>
      <c r="E333" s="2">
        <v>58.5</v>
      </c>
      <c r="F333" s="3">
        <f t="shared" si="37"/>
        <v>119.9</v>
      </c>
      <c r="G333" s="1">
        <v>79.7</v>
      </c>
      <c r="H333" s="16">
        <f>F333*0.5*0.6+G333*0.4</f>
        <v>67.85</v>
      </c>
    </row>
    <row r="334" spans="1:8" ht="13.5">
      <c r="A334" s="4">
        <v>332</v>
      </c>
      <c r="B334" s="6" t="s">
        <v>90</v>
      </c>
      <c r="C334" s="6" t="str">
        <f>"2020046502"</f>
        <v>2020046502</v>
      </c>
      <c r="D334" s="1">
        <v>55.5</v>
      </c>
      <c r="E334" s="2">
        <v>58.5</v>
      </c>
      <c r="F334" s="3">
        <f t="shared" si="37"/>
        <v>114</v>
      </c>
      <c r="G334" s="1">
        <v>76.7</v>
      </c>
      <c r="H334" s="16">
        <f>F334*0.5*0.6+G334*0.4</f>
        <v>64.88</v>
      </c>
    </row>
    <row r="335" spans="1:8" ht="13.5">
      <c r="A335" s="4">
        <v>333</v>
      </c>
      <c r="B335" s="6" t="s">
        <v>15</v>
      </c>
      <c r="C335" s="6" t="str">
        <f>"2020013630"</f>
        <v>2020013630</v>
      </c>
      <c r="D335" s="1">
        <v>75.2</v>
      </c>
      <c r="E335" s="2">
        <v>78.5</v>
      </c>
      <c r="F335" s="3">
        <f t="shared" si="37"/>
        <v>153.7</v>
      </c>
      <c r="G335" s="1">
        <v>74.4</v>
      </c>
      <c r="H335" s="16">
        <f>F335*0.5*0.6+G335*0.4</f>
        <v>75.87</v>
      </c>
    </row>
    <row r="336" spans="1:8" ht="15.75">
      <c r="A336" s="4">
        <v>334</v>
      </c>
      <c r="B336" s="6" t="s">
        <v>15</v>
      </c>
      <c r="C336" s="6" t="str">
        <f>"2020011327"</f>
        <v>2020011327</v>
      </c>
      <c r="D336" s="1">
        <v>73.3</v>
      </c>
      <c r="E336" s="2">
        <v>78.5</v>
      </c>
      <c r="F336" s="3">
        <f t="shared" si="37"/>
        <v>151.8</v>
      </c>
      <c r="G336" s="8" t="s">
        <v>232</v>
      </c>
      <c r="H336" s="16">
        <f>F336/2*0.6</f>
        <v>45.54</v>
      </c>
    </row>
    <row r="337" spans="1:8" ht="15.75">
      <c r="A337" s="4">
        <v>335</v>
      </c>
      <c r="B337" s="6" t="s">
        <v>15</v>
      </c>
      <c r="C337" s="6" t="str">
        <f>"2020024008"</f>
        <v>2020024008</v>
      </c>
      <c r="D337" s="1">
        <v>78.1</v>
      </c>
      <c r="E337" s="2">
        <v>69.5</v>
      </c>
      <c r="F337" s="3">
        <f t="shared" si="37"/>
        <v>147.6</v>
      </c>
      <c r="G337" s="8" t="s">
        <v>232</v>
      </c>
      <c r="H337" s="16">
        <f>F337/2*0.6</f>
        <v>44.279999999999994</v>
      </c>
    </row>
    <row r="338" spans="1:8" ht="13.5">
      <c r="A338" s="4">
        <v>336</v>
      </c>
      <c r="B338" s="6" t="s">
        <v>60</v>
      </c>
      <c r="C338" s="6" t="str">
        <f>"2020031926"</f>
        <v>2020031926</v>
      </c>
      <c r="D338" s="1">
        <v>81.7</v>
      </c>
      <c r="E338" s="2">
        <v>74</v>
      </c>
      <c r="F338" s="3">
        <f t="shared" si="37"/>
        <v>155.7</v>
      </c>
      <c r="G338" s="1">
        <v>75.8</v>
      </c>
      <c r="H338" s="16">
        <f aca="true" t="shared" si="38" ref="H338:H377">F338*0.5*0.6+G338*0.4</f>
        <v>77.03</v>
      </c>
    </row>
    <row r="339" spans="1:8" ht="13.5">
      <c r="A339" s="4">
        <v>337</v>
      </c>
      <c r="B339" s="6" t="s">
        <v>60</v>
      </c>
      <c r="C339" s="6" t="str">
        <f>"2020021311"</f>
        <v>2020021311</v>
      </c>
      <c r="D339" s="1">
        <v>77.9</v>
      </c>
      <c r="E339" s="2">
        <v>70</v>
      </c>
      <c r="F339" s="3">
        <f t="shared" si="37"/>
        <v>147.9</v>
      </c>
      <c r="G339" s="1">
        <v>79.2</v>
      </c>
      <c r="H339" s="16">
        <f t="shared" si="38"/>
        <v>76.05</v>
      </c>
    </row>
    <row r="340" spans="1:8" ht="13.5">
      <c r="A340" s="4">
        <v>338</v>
      </c>
      <c r="B340" s="6" t="s">
        <v>60</v>
      </c>
      <c r="C340" s="6" t="str">
        <f>"2020013625"</f>
        <v>2020013625</v>
      </c>
      <c r="D340" s="1">
        <v>76.3</v>
      </c>
      <c r="E340" s="2">
        <v>75.5</v>
      </c>
      <c r="F340" s="3">
        <f t="shared" si="37"/>
        <v>151.8</v>
      </c>
      <c r="G340" s="1">
        <v>76.2</v>
      </c>
      <c r="H340" s="16">
        <f t="shared" si="38"/>
        <v>76.02000000000001</v>
      </c>
    </row>
    <row r="341" spans="1:8" ht="13.5">
      <c r="A341" s="4">
        <v>339</v>
      </c>
      <c r="B341" s="6" t="s">
        <v>60</v>
      </c>
      <c r="C341" s="6" t="str">
        <f>"2020044826"</f>
        <v>2020044826</v>
      </c>
      <c r="D341" s="1">
        <v>71.5</v>
      </c>
      <c r="E341" s="2">
        <v>70.5</v>
      </c>
      <c r="F341" s="3">
        <f t="shared" si="37"/>
        <v>142</v>
      </c>
      <c r="G341" s="1">
        <v>74.2</v>
      </c>
      <c r="H341" s="16">
        <f t="shared" si="38"/>
        <v>72.28</v>
      </c>
    </row>
    <row r="342" spans="1:8" ht="13.5">
      <c r="A342" s="4">
        <v>340</v>
      </c>
      <c r="B342" s="6" t="s">
        <v>60</v>
      </c>
      <c r="C342" s="6" t="str">
        <f>"2020030915"</f>
        <v>2020030915</v>
      </c>
      <c r="D342" s="1">
        <v>75.1</v>
      </c>
      <c r="E342" s="2">
        <v>68.5</v>
      </c>
      <c r="F342" s="3">
        <f t="shared" si="37"/>
        <v>143.6</v>
      </c>
      <c r="G342" s="1">
        <v>73</v>
      </c>
      <c r="H342" s="16">
        <f t="shared" si="38"/>
        <v>72.28</v>
      </c>
    </row>
    <row r="343" spans="1:8" ht="13.5">
      <c r="A343" s="4">
        <v>341</v>
      </c>
      <c r="B343" s="6" t="s">
        <v>60</v>
      </c>
      <c r="C343" s="6" t="str">
        <f>"2020022916"</f>
        <v>2020022916</v>
      </c>
      <c r="D343" s="1">
        <v>68.4</v>
      </c>
      <c r="E343" s="2">
        <v>70</v>
      </c>
      <c r="F343" s="3">
        <f t="shared" si="37"/>
        <v>138.4</v>
      </c>
      <c r="G343" s="1">
        <v>76.2</v>
      </c>
      <c r="H343" s="16">
        <f t="shared" si="38"/>
        <v>72</v>
      </c>
    </row>
    <row r="344" spans="1:8" ht="13.5">
      <c r="A344" s="4">
        <v>342</v>
      </c>
      <c r="B344" s="6" t="s">
        <v>60</v>
      </c>
      <c r="C344" s="6" t="str">
        <f>"2020046829"</f>
        <v>2020046829</v>
      </c>
      <c r="D344" s="1">
        <v>74.6</v>
      </c>
      <c r="E344" s="2">
        <v>69</v>
      </c>
      <c r="F344" s="3">
        <f t="shared" si="37"/>
        <v>143.6</v>
      </c>
      <c r="G344" s="1">
        <v>71.8</v>
      </c>
      <c r="H344" s="16">
        <f t="shared" si="38"/>
        <v>71.8</v>
      </c>
    </row>
    <row r="345" spans="1:8" ht="13.5">
      <c r="A345" s="4">
        <v>343</v>
      </c>
      <c r="B345" s="6" t="s">
        <v>60</v>
      </c>
      <c r="C345" s="6" t="s">
        <v>205</v>
      </c>
      <c r="D345" s="1">
        <v>66.8</v>
      </c>
      <c r="E345" s="2">
        <v>70</v>
      </c>
      <c r="F345" s="7">
        <v>136.8</v>
      </c>
      <c r="G345" s="1">
        <v>74.6</v>
      </c>
      <c r="H345" s="16">
        <f t="shared" si="38"/>
        <v>70.88</v>
      </c>
    </row>
    <row r="346" spans="1:8" ht="13.5">
      <c r="A346" s="4">
        <v>344</v>
      </c>
      <c r="B346" s="6" t="s">
        <v>60</v>
      </c>
      <c r="C346" s="6" t="s">
        <v>206</v>
      </c>
      <c r="D346" s="1">
        <v>68.6</v>
      </c>
      <c r="E346" s="2">
        <v>67.5</v>
      </c>
      <c r="F346" s="7">
        <v>136.1</v>
      </c>
      <c r="G346" s="1">
        <v>73</v>
      </c>
      <c r="H346" s="16">
        <f t="shared" si="38"/>
        <v>70.03</v>
      </c>
    </row>
    <row r="347" spans="1:8" ht="13.5">
      <c r="A347" s="4">
        <v>345</v>
      </c>
      <c r="B347" s="6" t="s">
        <v>62</v>
      </c>
      <c r="C347" s="6" t="str">
        <f>"2020022729"</f>
        <v>2020022729</v>
      </c>
      <c r="D347" s="1">
        <v>72.6</v>
      </c>
      <c r="E347" s="2">
        <v>83</v>
      </c>
      <c r="F347" s="3">
        <f aca="true" t="shared" si="39" ref="F347:F360">D347+E347</f>
        <v>155.6</v>
      </c>
      <c r="G347" s="1">
        <v>73.7</v>
      </c>
      <c r="H347" s="16">
        <f t="shared" si="38"/>
        <v>76.16</v>
      </c>
    </row>
    <row r="348" spans="1:8" ht="13.5">
      <c r="A348" s="4">
        <v>346</v>
      </c>
      <c r="B348" s="6" t="s">
        <v>62</v>
      </c>
      <c r="C348" s="6" t="str">
        <f>"2020043718"</f>
        <v>2020043718</v>
      </c>
      <c r="D348" s="1">
        <v>71.1</v>
      </c>
      <c r="E348" s="2">
        <v>80.5</v>
      </c>
      <c r="F348" s="3">
        <f t="shared" si="39"/>
        <v>151.6</v>
      </c>
      <c r="G348" s="1">
        <v>74.8</v>
      </c>
      <c r="H348" s="16">
        <f t="shared" si="38"/>
        <v>75.4</v>
      </c>
    </row>
    <row r="349" spans="1:8" ht="13.5">
      <c r="A349" s="4">
        <v>347</v>
      </c>
      <c r="B349" s="6" t="s">
        <v>62</v>
      </c>
      <c r="C349" s="6" t="str">
        <f>"2020021617"</f>
        <v>2020021617</v>
      </c>
      <c r="D349" s="1">
        <v>72.8</v>
      </c>
      <c r="E349" s="2">
        <v>77</v>
      </c>
      <c r="F349" s="3">
        <f t="shared" si="39"/>
        <v>149.8</v>
      </c>
      <c r="G349" s="1">
        <v>75.8</v>
      </c>
      <c r="H349" s="16">
        <f t="shared" si="38"/>
        <v>75.26</v>
      </c>
    </row>
    <row r="350" spans="1:8" ht="13.5">
      <c r="A350" s="4">
        <v>348</v>
      </c>
      <c r="B350" s="6" t="s">
        <v>133</v>
      </c>
      <c r="C350" s="6" t="str">
        <f>"2020043324"</f>
        <v>2020043324</v>
      </c>
      <c r="D350" s="1">
        <v>82.1</v>
      </c>
      <c r="E350" s="2">
        <v>72.5</v>
      </c>
      <c r="F350" s="3">
        <f t="shared" si="39"/>
        <v>154.6</v>
      </c>
      <c r="G350" s="1">
        <v>77</v>
      </c>
      <c r="H350" s="16">
        <f t="shared" si="38"/>
        <v>77.17999999999999</v>
      </c>
    </row>
    <row r="351" spans="1:8" ht="13.5">
      <c r="A351" s="4">
        <v>349</v>
      </c>
      <c r="B351" s="6" t="s">
        <v>133</v>
      </c>
      <c r="C351" s="6" t="str">
        <f>"2020041726"</f>
        <v>2020041726</v>
      </c>
      <c r="D351" s="1">
        <v>70.5</v>
      </c>
      <c r="E351" s="2">
        <v>84.5</v>
      </c>
      <c r="F351" s="3">
        <f t="shared" si="39"/>
        <v>155</v>
      </c>
      <c r="G351" s="1">
        <v>76</v>
      </c>
      <c r="H351" s="16">
        <f t="shared" si="38"/>
        <v>76.9</v>
      </c>
    </row>
    <row r="352" spans="1:8" ht="13.5">
      <c r="A352" s="4">
        <v>350</v>
      </c>
      <c r="B352" s="6" t="s">
        <v>133</v>
      </c>
      <c r="C352" s="6" t="str">
        <f>"2020042007"</f>
        <v>2020042007</v>
      </c>
      <c r="D352" s="1">
        <v>73.9</v>
      </c>
      <c r="E352" s="2">
        <v>79.5</v>
      </c>
      <c r="F352" s="3">
        <f t="shared" si="39"/>
        <v>153.4</v>
      </c>
      <c r="G352" s="1">
        <v>76.4</v>
      </c>
      <c r="H352" s="16">
        <f t="shared" si="38"/>
        <v>76.58000000000001</v>
      </c>
    </row>
    <row r="353" spans="1:8" ht="13.5">
      <c r="A353" s="4">
        <v>351</v>
      </c>
      <c r="B353" s="6" t="s">
        <v>5</v>
      </c>
      <c r="C353" s="6" t="str">
        <f>"2020040127"</f>
        <v>2020040127</v>
      </c>
      <c r="D353" s="1">
        <v>76.5</v>
      </c>
      <c r="E353" s="2">
        <v>88.5</v>
      </c>
      <c r="F353" s="3">
        <f t="shared" si="39"/>
        <v>165</v>
      </c>
      <c r="G353" s="1">
        <v>78</v>
      </c>
      <c r="H353" s="16">
        <f t="shared" si="38"/>
        <v>80.7</v>
      </c>
    </row>
    <row r="354" spans="1:8" ht="13.5">
      <c r="A354" s="4">
        <v>352</v>
      </c>
      <c r="B354" s="6" t="s">
        <v>5</v>
      </c>
      <c r="C354" s="6" t="str">
        <f>"2020040807"</f>
        <v>2020040807</v>
      </c>
      <c r="D354" s="1">
        <v>73.4</v>
      </c>
      <c r="E354" s="2">
        <v>87</v>
      </c>
      <c r="F354" s="3">
        <f t="shared" si="39"/>
        <v>160.4</v>
      </c>
      <c r="G354" s="1">
        <v>76</v>
      </c>
      <c r="H354" s="16">
        <f t="shared" si="38"/>
        <v>78.52</v>
      </c>
    </row>
    <row r="355" spans="1:8" ht="13.5">
      <c r="A355" s="4">
        <v>353</v>
      </c>
      <c r="B355" s="6" t="s">
        <v>5</v>
      </c>
      <c r="C355" s="6" t="str">
        <f>"2020033417"</f>
        <v>2020033417</v>
      </c>
      <c r="D355" s="1">
        <v>79.7</v>
      </c>
      <c r="E355" s="2">
        <v>82.5</v>
      </c>
      <c r="F355" s="3">
        <f t="shared" si="39"/>
        <v>162.2</v>
      </c>
      <c r="G355" s="1">
        <v>73.8</v>
      </c>
      <c r="H355" s="16">
        <f t="shared" si="38"/>
        <v>78.17999999999999</v>
      </c>
    </row>
    <row r="356" spans="1:8" ht="13.5">
      <c r="A356" s="4">
        <v>354</v>
      </c>
      <c r="B356" s="6" t="s">
        <v>5</v>
      </c>
      <c r="C356" s="6" t="str">
        <f>"2020021615"</f>
        <v>2020021615</v>
      </c>
      <c r="D356" s="1">
        <v>75.5</v>
      </c>
      <c r="E356" s="2">
        <v>82.5</v>
      </c>
      <c r="F356" s="3">
        <f t="shared" si="39"/>
        <v>158</v>
      </c>
      <c r="G356" s="1">
        <v>75.8</v>
      </c>
      <c r="H356" s="16">
        <f t="shared" si="38"/>
        <v>77.72</v>
      </c>
    </row>
    <row r="357" spans="1:8" ht="13.5">
      <c r="A357" s="4">
        <v>355</v>
      </c>
      <c r="B357" s="6" t="s">
        <v>5</v>
      </c>
      <c r="C357" s="6" t="str">
        <f>"2020013919"</f>
        <v>2020013919</v>
      </c>
      <c r="D357" s="1">
        <v>75.3</v>
      </c>
      <c r="E357" s="2">
        <v>80.5</v>
      </c>
      <c r="F357" s="3">
        <f t="shared" si="39"/>
        <v>155.8</v>
      </c>
      <c r="G357" s="1">
        <v>75.2</v>
      </c>
      <c r="H357" s="16">
        <f t="shared" si="38"/>
        <v>76.82000000000001</v>
      </c>
    </row>
    <row r="358" spans="1:8" ht="13.5">
      <c r="A358" s="4">
        <v>356</v>
      </c>
      <c r="B358" s="6" t="s">
        <v>52</v>
      </c>
      <c r="C358" s="6" t="str">
        <f>"2020046620"</f>
        <v>2020046620</v>
      </c>
      <c r="D358" s="1">
        <v>76.1</v>
      </c>
      <c r="E358" s="2">
        <v>85</v>
      </c>
      <c r="F358" s="3">
        <f t="shared" si="39"/>
        <v>161.1</v>
      </c>
      <c r="G358" s="1">
        <v>76.2</v>
      </c>
      <c r="H358" s="16">
        <f t="shared" si="38"/>
        <v>78.81</v>
      </c>
    </row>
    <row r="359" spans="1:8" ht="13.5">
      <c r="A359" s="4">
        <v>357</v>
      </c>
      <c r="B359" s="6" t="s">
        <v>52</v>
      </c>
      <c r="C359" s="6" t="str">
        <f>"2020030702"</f>
        <v>2020030702</v>
      </c>
      <c r="D359" s="1">
        <v>70.9</v>
      </c>
      <c r="E359" s="2">
        <v>87</v>
      </c>
      <c r="F359" s="3">
        <f t="shared" si="39"/>
        <v>157.9</v>
      </c>
      <c r="G359" s="1">
        <v>72.2</v>
      </c>
      <c r="H359" s="16">
        <f t="shared" si="38"/>
        <v>76.25</v>
      </c>
    </row>
    <row r="360" spans="1:8" ht="13.5">
      <c r="A360" s="4">
        <v>358</v>
      </c>
      <c r="B360" s="6" t="s">
        <v>52</v>
      </c>
      <c r="C360" s="6" t="str">
        <f>"2020011218"</f>
        <v>2020011218</v>
      </c>
      <c r="D360" s="1">
        <v>72.8</v>
      </c>
      <c r="E360" s="2">
        <v>77</v>
      </c>
      <c r="F360" s="3">
        <f t="shared" si="39"/>
        <v>149.8</v>
      </c>
      <c r="G360" s="1">
        <v>75.4</v>
      </c>
      <c r="H360" s="16">
        <f t="shared" si="38"/>
        <v>75.10000000000001</v>
      </c>
    </row>
    <row r="361" spans="1:8" ht="13.5">
      <c r="A361" s="4">
        <v>359</v>
      </c>
      <c r="B361" s="6" t="s">
        <v>52</v>
      </c>
      <c r="C361" s="6" t="s">
        <v>208</v>
      </c>
      <c r="D361" s="1">
        <v>71.8</v>
      </c>
      <c r="E361" s="2">
        <v>77</v>
      </c>
      <c r="F361" s="7">
        <v>148.8</v>
      </c>
      <c r="G361" s="1">
        <v>74.4</v>
      </c>
      <c r="H361" s="16">
        <f t="shared" si="38"/>
        <v>74.4</v>
      </c>
    </row>
    <row r="362" spans="1:8" ht="13.5">
      <c r="A362" s="4">
        <v>360</v>
      </c>
      <c r="B362" s="6" t="s">
        <v>52</v>
      </c>
      <c r="C362" s="6" t="str">
        <f>"2020047527"</f>
        <v>2020047527</v>
      </c>
      <c r="D362" s="1">
        <v>71.7</v>
      </c>
      <c r="E362" s="2">
        <v>80</v>
      </c>
      <c r="F362" s="3">
        <f>D362+E362</f>
        <v>151.7</v>
      </c>
      <c r="G362" s="1">
        <v>71.8</v>
      </c>
      <c r="H362" s="16">
        <f t="shared" si="38"/>
        <v>74.22999999999999</v>
      </c>
    </row>
    <row r="363" spans="1:8" ht="13.5">
      <c r="A363" s="4">
        <v>361</v>
      </c>
      <c r="B363" s="6" t="s">
        <v>52</v>
      </c>
      <c r="C363" s="6" t="s">
        <v>207</v>
      </c>
      <c r="D363" s="1">
        <v>72.8</v>
      </c>
      <c r="E363" s="2">
        <v>76.5</v>
      </c>
      <c r="F363" s="7">
        <v>149.3</v>
      </c>
      <c r="G363" s="1">
        <v>69.6</v>
      </c>
      <c r="H363" s="16">
        <f t="shared" si="38"/>
        <v>72.63</v>
      </c>
    </row>
    <row r="364" spans="1:8" ht="13.5">
      <c r="A364" s="4">
        <v>362</v>
      </c>
      <c r="B364" s="6" t="s">
        <v>78</v>
      </c>
      <c r="C364" s="6" t="str">
        <f>"2020024212"</f>
        <v>2020024212</v>
      </c>
      <c r="D364" s="1">
        <v>77.2</v>
      </c>
      <c r="E364" s="2">
        <v>81.5</v>
      </c>
      <c r="F364" s="3">
        <f>D364+E364</f>
        <v>158.7</v>
      </c>
      <c r="G364" s="1">
        <v>76.4</v>
      </c>
      <c r="H364" s="16">
        <f t="shared" si="38"/>
        <v>78.16999999999999</v>
      </c>
    </row>
    <row r="365" spans="1:8" ht="13.5">
      <c r="A365" s="4">
        <v>363</v>
      </c>
      <c r="B365" s="6" t="s">
        <v>78</v>
      </c>
      <c r="C365" s="6" t="str">
        <f>"2020031221"</f>
        <v>2020031221</v>
      </c>
      <c r="D365" s="1">
        <v>81.5</v>
      </c>
      <c r="E365" s="2">
        <v>81.5</v>
      </c>
      <c r="F365" s="3">
        <f>D365+E365</f>
        <v>163</v>
      </c>
      <c r="G365" s="1">
        <v>70.6</v>
      </c>
      <c r="H365" s="16">
        <f t="shared" si="38"/>
        <v>77.14</v>
      </c>
    </row>
    <row r="366" spans="1:8" ht="13.5">
      <c r="A366" s="4">
        <v>364</v>
      </c>
      <c r="B366" s="6" t="s">
        <v>172</v>
      </c>
      <c r="C366" s="6" t="str">
        <f>"2020010230"</f>
        <v>2020010230</v>
      </c>
      <c r="D366" s="1">
        <v>74.7</v>
      </c>
      <c r="E366" s="2">
        <v>75</v>
      </c>
      <c r="F366" s="3">
        <f>D366+E366</f>
        <v>149.7</v>
      </c>
      <c r="G366" s="1">
        <v>75.6</v>
      </c>
      <c r="H366" s="16">
        <f t="shared" si="38"/>
        <v>75.14999999999999</v>
      </c>
    </row>
    <row r="367" spans="1:8" ht="13.5">
      <c r="A367" s="4">
        <v>365</v>
      </c>
      <c r="B367" s="6" t="s">
        <v>172</v>
      </c>
      <c r="C367" s="6" t="str">
        <f>"2020041008"</f>
        <v>2020041008</v>
      </c>
      <c r="D367" s="1">
        <v>68.1</v>
      </c>
      <c r="E367" s="2">
        <v>74</v>
      </c>
      <c r="F367" s="3">
        <f>D367+E367</f>
        <v>142.1</v>
      </c>
      <c r="G367" s="1">
        <v>79.4</v>
      </c>
      <c r="H367" s="16">
        <f t="shared" si="38"/>
        <v>74.39</v>
      </c>
    </row>
    <row r="368" spans="1:8" ht="13.5">
      <c r="A368" s="4">
        <v>366</v>
      </c>
      <c r="B368" s="6" t="s">
        <v>172</v>
      </c>
      <c r="C368" s="6" t="s">
        <v>209</v>
      </c>
      <c r="D368" s="1">
        <v>70.5</v>
      </c>
      <c r="E368" s="2">
        <v>65.5</v>
      </c>
      <c r="F368" s="7">
        <v>136</v>
      </c>
      <c r="G368" s="1">
        <v>78.2</v>
      </c>
      <c r="H368" s="16">
        <f t="shared" si="38"/>
        <v>72.08</v>
      </c>
    </row>
    <row r="369" spans="1:8" ht="13.5">
      <c r="A369" s="4">
        <v>367</v>
      </c>
      <c r="B369" s="6" t="s">
        <v>22</v>
      </c>
      <c r="C369" s="6" t="str">
        <f>"2020022514"</f>
        <v>2020022514</v>
      </c>
      <c r="D369" s="1">
        <v>71.6</v>
      </c>
      <c r="E369" s="2">
        <v>79.5</v>
      </c>
      <c r="F369" s="3">
        <f aca="true" t="shared" si="40" ref="F369:F383">D369+E369</f>
        <v>151.1</v>
      </c>
      <c r="G369" s="1">
        <v>77</v>
      </c>
      <c r="H369" s="16">
        <f t="shared" si="38"/>
        <v>76.13</v>
      </c>
    </row>
    <row r="370" spans="1:8" ht="13.5">
      <c r="A370" s="4">
        <v>368</v>
      </c>
      <c r="B370" s="6" t="s">
        <v>22</v>
      </c>
      <c r="C370" s="6" t="str">
        <f>"2020047227"</f>
        <v>2020047227</v>
      </c>
      <c r="D370" s="1">
        <v>76.5</v>
      </c>
      <c r="E370" s="2">
        <v>78.5</v>
      </c>
      <c r="F370" s="3">
        <f t="shared" si="40"/>
        <v>155</v>
      </c>
      <c r="G370" s="1">
        <v>73</v>
      </c>
      <c r="H370" s="16">
        <f t="shared" si="38"/>
        <v>75.7</v>
      </c>
    </row>
    <row r="371" spans="1:8" ht="13.5">
      <c r="A371" s="4">
        <v>369</v>
      </c>
      <c r="B371" s="6" t="s">
        <v>22</v>
      </c>
      <c r="C371" s="6" t="str">
        <f>"2020047202"</f>
        <v>2020047202</v>
      </c>
      <c r="D371" s="1">
        <v>75.1</v>
      </c>
      <c r="E371" s="2">
        <v>77</v>
      </c>
      <c r="F371" s="3">
        <f t="shared" si="40"/>
        <v>152.1</v>
      </c>
      <c r="G371" s="1">
        <v>73.4</v>
      </c>
      <c r="H371" s="16">
        <f t="shared" si="38"/>
        <v>74.99</v>
      </c>
    </row>
    <row r="372" spans="1:8" ht="13.5">
      <c r="A372" s="4">
        <v>370</v>
      </c>
      <c r="B372" s="6" t="s">
        <v>151</v>
      </c>
      <c r="C372" s="6" t="str">
        <f>"2020011110"</f>
        <v>2020011110</v>
      </c>
      <c r="D372" s="1">
        <v>73.1</v>
      </c>
      <c r="E372" s="2">
        <v>76</v>
      </c>
      <c r="F372" s="3">
        <f t="shared" si="40"/>
        <v>149.1</v>
      </c>
      <c r="G372" s="1">
        <v>79</v>
      </c>
      <c r="H372" s="16">
        <f t="shared" si="38"/>
        <v>76.33</v>
      </c>
    </row>
    <row r="373" spans="1:8" ht="13.5">
      <c r="A373" s="4">
        <v>371</v>
      </c>
      <c r="B373" s="6" t="s">
        <v>151</v>
      </c>
      <c r="C373" s="6" t="str">
        <f>"2020021201"</f>
        <v>2020021201</v>
      </c>
      <c r="D373" s="1">
        <v>66.1</v>
      </c>
      <c r="E373" s="2">
        <v>80.5</v>
      </c>
      <c r="F373" s="3">
        <f t="shared" si="40"/>
        <v>146.6</v>
      </c>
      <c r="G373" s="1">
        <v>69.6</v>
      </c>
      <c r="H373" s="16">
        <f t="shared" si="38"/>
        <v>71.82</v>
      </c>
    </row>
    <row r="374" spans="1:8" ht="13.5">
      <c r="A374" s="4">
        <v>372</v>
      </c>
      <c r="B374" s="6" t="s">
        <v>99</v>
      </c>
      <c r="C374" s="6" t="str">
        <f>"2020044113"</f>
        <v>2020044113</v>
      </c>
      <c r="D374" s="1">
        <v>69.7</v>
      </c>
      <c r="E374" s="2">
        <v>75.5</v>
      </c>
      <c r="F374" s="3">
        <f t="shared" si="40"/>
        <v>145.2</v>
      </c>
      <c r="G374" s="1">
        <v>74.6</v>
      </c>
      <c r="H374" s="16">
        <f t="shared" si="38"/>
        <v>73.39999999999999</v>
      </c>
    </row>
    <row r="375" spans="1:8" ht="13.5">
      <c r="A375" s="4">
        <v>373</v>
      </c>
      <c r="B375" s="6" t="s">
        <v>99</v>
      </c>
      <c r="C375" s="6" t="str">
        <f>"2020013726"</f>
        <v>2020013726</v>
      </c>
      <c r="D375" s="1">
        <v>67</v>
      </c>
      <c r="E375" s="2">
        <v>73</v>
      </c>
      <c r="F375" s="3">
        <f t="shared" si="40"/>
        <v>140</v>
      </c>
      <c r="G375" s="1">
        <v>76.2</v>
      </c>
      <c r="H375" s="16">
        <f t="shared" si="38"/>
        <v>72.48</v>
      </c>
    </row>
    <row r="376" spans="1:8" ht="13.5">
      <c r="A376" s="4">
        <v>374</v>
      </c>
      <c r="B376" s="6" t="s">
        <v>70</v>
      </c>
      <c r="C376" s="6" t="str">
        <f>"2020020829"</f>
        <v>2020020829</v>
      </c>
      <c r="D376" s="1">
        <v>82.5</v>
      </c>
      <c r="E376" s="2">
        <v>79</v>
      </c>
      <c r="F376" s="3">
        <f t="shared" si="40"/>
        <v>161.5</v>
      </c>
      <c r="G376" s="1">
        <v>78.8</v>
      </c>
      <c r="H376" s="16">
        <f t="shared" si="38"/>
        <v>79.97</v>
      </c>
    </row>
    <row r="377" spans="1:8" ht="13.5">
      <c r="A377" s="4">
        <v>375</v>
      </c>
      <c r="B377" s="6" t="s">
        <v>70</v>
      </c>
      <c r="C377" s="6" t="str">
        <f>"2020030908"</f>
        <v>2020030908</v>
      </c>
      <c r="D377" s="1">
        <v>72</v>
      </c>
      <c r="E377" s="2">
        <v>85.5</v>
      </c>
      <c r="F377" s="3">
        <f t="shared" si="40"/>
        <v>157.5</v>
      </c>
      <c r="G377" s="1">
        <v>75.8</v>
      </c>
      <c r="H377" s="16">
        <f t="shared" si="38"/>
        <v>77.57</v>
      </c>
    </row>
    <row r="378" spans="1:8" ht="15.75">
      <c r="A378" s="4">
        <v>376</v>
      </c>
      <c r="B378" s="6" t="s">
        <v>70</v>
      </c>
      <c r="C378" s="6" t="str">
        <f>"2020030230"</f>
        <v>2020030230</v>
      </c>
      <c r="D378" s="1">
        <v>79.3</v>
      </c>
      <c r="E378" s="2">
        <v>78</v>
      </c>
      <c r="F378" s="3">
        <f t="shared" si="40"/>
        <v>157.3</v>
      </c>
      <c r="G378" s="8" t="s">
        <v>232</v>
      </c>
      <c r="H378" s="16">
        <f>F378/2*0.6</f>
        <v>47.190000000000005</v>
      </c>
    </row>
    <row r="379" spans="1:8" ht="13.5">
      <c r="A379" s="4">
        <v>377</v>
      </c>
      <c r="B379" s="6" t="s">
        <v>18</v>
      </c>
      <c r="C379" s="6" t="str">
        <f>"2020034022"</f>
        <v>2020034022</v>
      </c>
      <c r="D379" s="1">
        <v>74.5</v>
      </c>
      <c r="E379" s="2">
        <v>77</v>
      </c>
      <c r="F379" s="3">
        <f t="shared" si="40"/>
        <v>151.5</v>
      </c>
      <c r="G379" s="1">
        <v>77</v>
      </c>
      <c r="H379" s="16">
        <f>F379*0.5*0.6+G379*0.4</f>
        <v>76.25</v>
      </c>
    </row>
    <row r="380" spans="1:8" ht="13.5">
      <c r="A380" s="4">
        <v>378</v>
      </c>
      <c r="B380" s="6" t="s">
        <v>18</v>
      </c>
      <c r="C380" s="6" t="str">
        <f>"2020023419"</f>
        <v>2020023419</v>
      </c>
      <c r="D380" s="1">
        <v>70.3</v>
      </c>
      <c r="E380" s="2">
        <v>78.5</v>
      </c>
      <c r="F380" s="3">
        <f t="shared" si="40"/>
        <v>148.8</v>
      </c>
      <c r="G380" s="1">
        <v>77.4</v>
      </c>
      <c r="H380" s="16">
        <f>F380*0.5*0.6+G380*0.4</f>
        <v>75.60000000000001</v>
      </c>
    </row>
    <row r="381" spans="1:8" ht="13.5">
      <c r="A381" s="4">
        <v>379</v>
      </c>
      <c r="B381" s="6" t="s">
        <v>18</v>
      </c>
      <c r="C381" s="6" t="str">
        <f>"2020032808"</f>
        <v>2020032808</v>
      </c>
      <c r="D381" s="1">
        <v>79</v>
      </c>
      <c r="E381" s="2">
        <v>70</v>
      </c>
      <c r="F381" s="3">
        <f t="shared" si="40"/>
        <v>149</v>
      </c>
      <c r="G381" s="1">
        <v>74.8</v>
      </c>
      <c r="H381" s="16">
        <f>F381*0.5*0.6+G381*0.4</f>
        <v>74.62</v>
      </c>
    </row>
    <row r="382" spans="1:8" ht="13.5">
      <c r="A382" s="4">
        <v>380</v>
      </c>
      <c r="B382" s="6" t="s">
        <v>18</v>
      </c>
      <c r="C382" s="6" t="str">
        <f>"2020047205"</f>
        <v>2020047205</v>
      </c>
      <c r="D382" s="1">
        <v>71.3</v>
      </c>
      <c r="E382" s="2">
        <v>76.5</v>
      </c>
      <c r="F382" s="3">
        <f t="shared" si="40"/>
        <v>147.8</v>
      </c>
      <c r="G382" s="1">
        <v>75</v>
      </c>
      <c r="H382" s="16">
        <f>F382*0.5*0.6+G382*0.4</f>
        <v>74.34</v>
      </c>
    </row>
    <row r="383" spans="1:8" ht="15.75">
      <c r="A383" s="4">
        <v>381</v>
      </c>
      <c r="B383" s="6" t="s">
        <v>18</v>
      </c>
      <c r="C383" s="6" t="str">
        <f>"2020031405"</f>
        <v>2020031405</v>
      </c>
      <c r="D383" s="1">
        <v>63.8</v>
      </c>
      <c r="E383" s="2">
        <v>83</v>
      </c>
      <c r="F383" s="3">
        <f t="shared" si="40"/>
        <v>146.8</v>
      </c>
      <c r="G383" s="8" t="s">
        <v>232</v>
      </c>
      <c r="H383" s="16">
        <f>F383/2*0.6</f>
        <v>44.04</v>
      </c>
    </row>
    <row r="384" spans="1:8" ht="15.75">
      <c r="A384" s="4">
        <v>382</v>
      </c>
      <c r="B384" s="6" t="s">
        <v>18</v>
      </c>
      <c r="C384" s="6" t="s">
        <v>210</v>
      </c>
      <c r="D384" s="1">
        <v>75.4</v>
      </c>
      <c r="E384" s="2">
        <v>71</v>
      </c>
      <c r="F384" s="7">
        <v>146.4</v>
      </c>
      <c r="G384" s="8" t="s">
        <v>232</v>
      </c>
      <c r="H384" s="16">
        <f>F384/2*0.6</f>
        <v>43.92</v>
      </c>
    </row>
    <row r="385" spans="1:8" ht="13.5">
      <c r="A385" s="4">
        <v>383</v>
      </c>
      <c r="B385" s="6" t="s">
        <v>109</v>
      </c>
      <c r="C385" s="6" t="str">
        <f>"2020046519"</f>
        <v>2020046519</v>
      </c>
      <c r="D385" s="1">
        <v>78.5</v>
      </c>
      <c r="E385" s="2">
        <v>78.5</v>
      </c>
      <c r="F385" s="3">
        <f>D385+E385</f>
        <v>157</v>
      </c>
      <c r="G385" s="1">
        <v>76.2</v>
      </c>
      <c r="H385" s="16">
        <f>F385*0.5*0.6+G385*0.4</f>
        <v>77.58000000000001</v>
      </c>
    </row>
    <row r="386" spans="1:8" ht="13.5">
      <c r="A386" s="4">
        <v>384</v>
      </c>
      <c r="B386" s="6" t="s">
        <v>109</v>
      </c>
      <c r="C386" s="6" t="str">
        <f>"2020042705"</f>
        <v>2020042705</v>
      </c>
      <c r="D386" s="1">
        <v>75.1</v>
      </c>
      <c r="E386" s="2">
        <v>76.5</v>
      </c>
      <c r="F386" s="3">
        <f>D386+E386</f>
        <v>151.6</v>
      </c>
      <c r="G386" s="1">
        <v>76.8</v>
      </c>
      <c r="H386" s="16">
        <f>F386*0.5*0.6+G386*0.4</f>
        <v>76.19999999999999</v>
      </c>
    </row>
    <row r="387" spans="1:8" ht="13.5">
      <c r="A387" s="4">
        <v>385</v>
      </c>
      <c r="B387" s="6" t="s">
        <v>109</v>
      </c>
      <c r="C387" s="6" t="s">
        <v>211</v>
      </c>
      <c r="D387" s="1">
        <v>71.3</v>
      </c>
      <c r="E387" s="2">
        <v>72</v>
      </c>
      <c r="F387" s="7">
        <v>143.3</v>
      </c>
      <c r="G387" s="1">
        <v>76.4</v>
      </c>
      <c r="H387" s="16">
        <f>F387*0.5*0.6+G387*0.4</f>
        <v>73.55000000000001</v>
      </c>
    </row>
    <row r="388" spans="1:8" ht="13.5">
      <c r="A388" s="4">
        <v>386</v>
      </c>
      <c r="B388" s="6" t="s">
        <v>3</v>
      </c>
      <c r="C388" s="6" t="str">
        <f>"2020040922"</f>
        <v>2020040922</v>
      </c>
      <c r="D388" s="1">
        <v>69.1</v>
      </c>
      <c r="E388" s="2">
        <v>77.5</v>
      </c>
      <c r="F388" s="3">
        <f aca="true" t="shared" si="41" ref="F388:F394">D388+E388</f>
        <v>146.6</v>
      </c>
      <c r="G388" s="1">
        <v>78.4</v>
      </c>
      <c r="H388" s="16">
        <f>F388*0.5*0.6+G388*0.4</f>
        <v>75.34</v>
      </c>
    </row>
    <row r="389" spans="1:8" ht="15.75">
      <c r="A389" s="4">
        <v>387</v>
      </c>
      <c r="B389" s="6" t="s">
        <v>3</v>
      </c>
      <c r="C389" s="6" t="str">
        <f>"2020013312"</f>
        <v>2020013312</v>
      </c>
      <c r="D389" s="1">
        <v>66.4</v>
      </c>
      <c r="E389" s="2">
        <v>66</v>
      </c>
      <c r="F389" s="3">
        <f t="shared" si="41"/>
        <v>132.4</v>
      </c>
      <c r="G389" s="8" t="s">
        <v>232</v>
      </c>
      <c r="H389" s="16">
        <f>F389/2*0.6</f>
        <v>39.72</v>
      </c>
    </row>
    <row r="390" spans="1:8" ht="13.5">
      <c r="A390" s="4">
        <v>388</v>
      </c>
      <c r="B390" s="6" t="s">
        <v>65</v>
      </c>
      <c r="C390" s="6" t="str">
        <f>"2020013026"</f>
        <v>2020013026</v>
      </c>
      <c r="D390" s="1">
        <v>75.1</v>
      </c>
      <c r="E390" s="2">
        <v>81</v>
      </c>
      <c r="F390" s="3">
        <f t="shared" si="41"/>
        <v>156.1</v>
      </c>
      <c r="G390" s="9">
        <v>75.6</v>
      </c>
      <c r="H390" s="16">
        <f aca="true" t="shared" si="42" ref="H390:H396">F390*0.5*0.6+G390*0.4</f>
        <v>77.07</v>
      </c>
    </row>
    <row r="391" spans="1:8" ht="13.5">
      <c r="A391" s="4">
        <v>389</v>
      </c>
      <c r="B391" s="6" t="s">
        <v>65</v>
      </c>
      <c r="C391" s="6" t="str">
        <f>"2020044908"</f>
        <v>2020044908</v>
      </c>
      <c r="D391" s="1">
        <v>77.7</v>
      </c>
      <c r="E391" s="2">
        <v>77.5</v>
      </c>
      <c r="F391" s="3">
        <f t="shared" si="41"/>
        <v>155.2</v>
      </c>
      <c r="G391" s="1">
        <v>68.4</v>
      </c>
      <c r="H391" s="16">
        <f t="shared" si="42"/>
        <v>73.92</v>
      </c>
    </row>
    <row r="392" spans="1:8" ht="13.5">
      <c r="A392" s="4">
        <v>390</v>
      </c>
      <c r="B392" s="6" t="s">
        <v>65</v>
      </c>
      <c r="C392" s="6" t="str">
        <f>"2020047102"</f>
        <v>2020047102</v>
      </c>
      <c r="D392" s="1">
        <v>75.7</v>
      </c>
      <c r="E392" s="2">
        <v>77</v>
      </c>
      <c r="F392" s="3">
        <f t="shared" si="41"/>
        <v>152.7</v>
      </c>
      <c r="G392" s="1">
        <v>70</v>
      </c>
      <c r="H392" s="16">
        <f t="shared" si="42"/>
        <v>73.81</v>
      </c>
    </row>
    <row r="393" spans="1:8" ht="13.5">
      <c r="A393" s="4">
        <v>391</v>
      </c>
      <c r="B393" s="6" t="s">
        <v>65</v>
      </c>
      <c r="C393" s="6" t="str">
        <f>"2020020503"</f>
        <v>2020020503</v>
      </c>
      <c r="D393" s="1">
        <v>67.3</v>
      </c>
      <c r="E393" s="2">
        <v>76.5</v>
      </c>
      <c r="F393" s="3">
        <f t="shared" si="41"/>
        <v>143.8</v>
      </c>
      <c r="G393" s="1">
        <v>76.6</v>
      </c>
      <c r="H393" s="16">
        <f t="shared" si="42"/>
        <v>73.78</v>
      </c>
    </row>
    <row r="394" spans="1:8" ht="13.5">
      <c r="A394" s="4">
        <v>392</v>
      </c>
      <c r="B394" s="6" t="s">
        <v>65</v>
      </c>
      <c r="C394" s="6" t="str">
        <f>"2020022230"</f>
        <v>2020022230</v>
      </c>
      <c r="D394" s="1">
        <v>70.9</v>
      </c>
      <c r="E394" s="2">
        <v>77</v>
      </c>
      <c r="F394" s="3">
        <f t="shared" si="41"/>
        <v>147.9</v>
      </c>
      <c r="G394" s="9">
        <v>71.2</v>
      </c>
      <c r="H394" s="16">
        <f t="shared" si="42"/>
        <v>72.85</v>
      </c>
    </row>
    <row r="395" spans="1:8" ht="13.5">
      <c r="A395" s="4">
        <v>393</v>
      </c>
      <c r="B395" s="6" t="s">
        <v>65</v>
      </c>
      <c r="C395" s="6" t="s">
        <v>213</v>
      </c>
      <c r="D395" s="1">
        <v>66</v>
      </c>
      <c r="E395" s="2">
        <v>70</v>
      </c>
      <c r="F395" s="7">
        <v>136</v>
      </c>
      <c r="G395" s="1">
        <v>70.5</v>
      </c>
      <c r="H395" s="16">
        <f t="shared" si="42"/>
        <v>69</v>
      </c>
    </row>
    <row r="396" spans="1:8" ht="13.5">
      <c r="A396" s="4">
        <v>394</v>
      </c>
      <c r="B396" s="6" t="s">
        <v>65</v>
      </c>
      <c r="C396" s="6" t="s">
        <v>212</v>
      </c>
      <c r="D396" s="1">
        <v>71.1</v>
      </c>
      <c r="E396" s="2">
        <v>66</v>
      </c>
      <c r="F396" s="7">
        <v>137.1</v>
      </c>
      <c r="G396" s="1">
        <v>68.4</v>
      </c>
      <c r="H396" s="16">
        <f t="shared" si="42"/>
        <v>68.49</v>
      </c>
    </row>
    <row r="397" spans="1:8" ht="15.75">
      <c r="A397" s="4">
        <v>395</v>
      </c>
      <c r="B397" s="6" t="s">
        <v>65</v>
      </c>
      <c r="C397" s="6" t="str">
        <f>"2020032814"</f>
        <v>2020032814</v>
      </c>
      <c r="D397" s="1">
        <v>73.2</v>
      </c>
      <c r="E397" s="2">
        <v>84.5</v>
      </c>
      <c r="F397" s="3">
        <f aca="true" t="shared" si="43" ref="F397:F410">D397+E397</f>
        <v>157.7</v>
      </c>
      <c r="G397" s="8" t="s">
        <v>232</v>
      </c>
      <c r="H397" s="16">
        <f>F397/2*0.6</f>
        <v>47.309999999999995</v>
      </c>
    </row>
    <row r="398" spans="1:8" ht="15.75">
      <c r="A398" s="4">
        <v>396</v>
      </c>
      <c r="B398" s="6" t="s">
        <v>65</v>
      </c>
      <c r="C398" s="6" t="str">
        <f>"2020047206"</f>
        <v>2020047206</v>
      </c>
      <c r="D398" s="1">
        <v>71.4</v>
      </c>
      <c r="E398" s="2">
        <v>77.5</v>
      </c>
      <c r="F398" s="3">
        <f t="shared" si="43"/>
        <v>148.9</v>
      </c>
      <c r="G398" s="10" t="s">
        <v>232</v>
      </c>
      <c r="H398" s="16">
        <f>F398/2*0.6</f>
        <v>44.67</v>
      </c>
    </row>
    <row r="399" spans="1:8" ht="15.75">
      <c r="A399" s="4">
        <v>397</v>
      </c>
      <c r="B399" s="6" t="s">
        <v>65</v>
      </c>
      <c r="C399" s="6" t="str">
        <f>"2020032712"</f>
        <v>2020032712</v>
      </c>
      <c r="D399" s="1">
        <v>67.6</v>
      </c>
      <c r="E399" s="2">
        <v>72</v>
      </c>
      <c r="F399" s="3">
        <f t="shared" si="43"/>
        <v>139.6</v>
      </c>
      <c r="G399" s="10" t="s">
        <v>232</v>
      </c>
      <c r="H399" s="16">
        <f>F399/2*0.6</f>
        <v>41.879999999999995</v>
      </c>
    </row>
    <row r="400" spans="1:8" ht="13.5">
      <c r="A400" s="4">
        <v>398</v>
      </c>
      <c r="B400" s="6" t="s">
        <v>31</v>
      </c>
      <c r="C400" s="6" t="str">
        <f>"2020023201"</f>
        <v>2020023201</v>
      </c>
      <c r="D400" s="1">
        <v>73.9</v>
      </c>
      <c r="E400" s="2">
        <v>87.5</v>
      </c>
      <c r="F400" s="3">
        <f t="shared" si="43"/>
        <v>161.4</v>
      </c>
      <c r="G400" s="1">
        <v>77.1</v>
      </c>
      <c r="H400" s="16">
        <f aca="true" t="shared" si="44" ref="H400:H415">F400*0.5*0.6+G400*0.4</f>
        <v>79.26</v>
      </c>
    </row>
    <row r="401" spans="1:8" ht="13.5">
      <c r="A401" s="4">
        <v>399</v>
      </c>
      <c r="B401" s="6" t="s">
        <v>31</v>
      </c>
      <c r="C401" s="6" t="str">
        <f>"2020020320"</f>
        <v>2020020320</v>
      </c>
      <c r="D401" s="1">
        <v>77</v>
      </c>
      <c r="E401" s="2">
        <v>88</v>
      </c>
      <c r="F401" s="3">
        <f t="shared" si="43"/>
        <v>165</v>
      </c>
      <c r="G401" s="1">
        <v>72.3</v>
      </c>
      <c r="H401" s="16">
        <f t="shared" si="44"/>
        <v>78.42</v>
      </c>
    </row>
    <row r="402" spans="1:8" ht="13.5">
      <c r="A402" s="4">
        <v>400</v>
      </c>
      <c r="B402" s="6" t="s">
        <v>31</v>
      </c>
      <c r="C402" s="6" t="str">
        <f>"2020020120"</f>
        <v>2020020120</v>
      </c>
      <c r="D402" s="1">
        <v>72</v>
      </c>
      <c r="E402" s="2">
        <v>80.5</v>
      </c>
      <c r="F402" s="3">
        <f t="shared" si="43"/>
        <v>152.5</v>
      </c>
      <c r="G402" s="1">
        <v>73.4</v>
      </c>
      <c r="H402" s="16">
        <f t="shared" si="44"/>
        <v>75.11</v>
      </c>
    </row>
    <row r="403" spans="1:8" ht="13.5">
      <c r="A403" s="4">
        <v>401</v>
      </c>
      <c r="B403" s="6" t="s">
        <v>31</v>
      </c>
      <c r="C403" s="6" t="str">
        <f>"2020040302"</f>
        <v>2020040302</v>
      </c>
      <c r="D403" s="1">
        <v>75.6</v>
      </c>
      <c r="E403" s="2">
        <v>74</v>
      </c>
      <c r="F403" s="3">
        <f t="shared" si="43"/>
        <v>149.6</v>
      </c>
      <c r="G403" s="1">
        <v>74.9</v>
      </c>
      <c r="H403" s="16">
        <f t="shared" si="44"/>
        <v>74.84</v>
      </c>
    </row>
    <row r="404" spans="1:8" ht="13.5">
      <c r="A404" s="4">
        <v>402</v>
      </c>
      <c r="B404" s="6" t="s">
        <v>31</v>
      </c>
      <c r="C404" s="6" t="str">
        <f>"2020033022"</f>
        <v>2020033022</v>
      </c>
      <c r="D404" s="1">
        <v>70.5</v>
      </c>
      <c r="E404" s="2">
        <v>77.5</v>
      </c>
      <c r="F404" s="3">
        <f t="shared" si="43"/>
        <v>148</v>
      </c>
      <c r="G404" s="1">
        <v>68.2</v>
      </c>
      <c r="H404" s="16">
        <f t="shared" si="44"/>
        <v>71.68</v>
      </c>
    </row>
    <row r="405" spans="1:8" ht="13.5">
      <c r="A405" s="4">
        <v>403</v>
      </c>
      <c r="B405" s="6" t="s">
        <v>96</v>
      </c>
      <c r="C405" s="6" t="str">
        <f>"2020044309"</f>
        <v>2020044309</v>
      </c>
      <c r="D405" s="1">
        <v>67.5</v>
      </c>
      <c r="E405" s="2">
        <v>78.5</v>
      </c>
      <c r="F405" s="3">
        <f t="shared" si="43"/>
        <v>146</v>
      </c>
      <c r="G405" s="1">
        <v>74.4</v>
      </c>
      <c r="H405" s="16">
        <f t="shared" si="44"/>
        <v>73.56</v>
      </c>
    </row>
    <row r="406" spans="1:8" ht="13.5">
      <c r="A406" s="4">
        <v>404</v>
      </c>
      <c r="B406" s="6" t="s">
        <v>96</v>
      </c>
      <c r="C406" s="6" t="str">
        <f>"2020024101"</f>
        <v>2020024101</v>
      </c>
      <c r="D406" s="1">
        <v>69.5</v>
      </c>
      <c r="E406" s="2">
        <v>78.5</v>
      </c>
      <c r="F406" s="3">
        <f t="shared" si="43"/>
        <v>148</v>
      </c>
      <c r="G406" s="1">
        <v>69.8</v>
      </c>
      <c r="H406" s="16">
        <f t="shared" si="44"/>
        <v>72.32</v>
      </c>
    </row>
    <row r="407" spans="1:8" ht="13.5">
      <c r="A407" s="4">
        <v>405</v>
      </c>
      <c r="B407" s="6" t="s">
        <v>96</v>
      </c>
      <c r="C407" s="6" t="str">
        <f>"2020032614"</f>
        <v>2020032614</v>
      </c>
      <c r="D407" s="1">
        <v>73.7</v>
      </c>
      <c r="E407" s="2">
        <v>68.5</v>
      </c>
      <c r="F407" s="3">
        <f t="shared" si="43"/>
        <v>142.2</v>
      </c>
      <c r="G407" s="1">
        <v>73.6</v>
      </c>
      <c r="H407" s="16">
        <f t="shared" si="44"/>
        <v>72.1</v>
      </c>
    </row>
    <row r="408" spans="1:8" ht="13.5">
      <c r="A408" s="4">
        <v>406</v>
      </c>
      <c r="B408" s="6" t="s">
        <v>2</v>
      </c>
      <c r="C408" s="6" t="str">
        <f>"2020012616"</f>
        <v>2020012616</v>
      </c>
      <c r="D408" s="1">
        <v>62.7</v>
      </c>
      <c r="E408" s="2">
        <v>72</v>
      </c>
      <c r="F408" s="3">
        <f t="shared" si="43"/>
        <v>134.7</v>
      </c>
      <c r="G408" s="1">
        <v>74.6</v>
      </c>
      <c r="H408" s="16">
        <f t="shared" si="44"/>
        <v>70.25</v>
      </c>
    </row>
    <row r="409" spans="1:8" ht="13.5">
      <c r="A409" s="4">
        <v>407</v>
      </c>
      <c r="B409" s="6" t="s">
        <v>2</v>
      </c>
      <c r="C409" s="6" t="str">
        <f>"2020032413"</f>
        <v>2020032413</v>
      </c>
      <c r="D409" s="1">
        <v>60.2</v>
      </c>
      <c r="E409" s="2">
        <v>61.5</v>
      </c>
      <c r="F409" s="3">
        <f t="shared" si="43"/>
        <v>121.7</v>
      </c>
      <c r="G409" s="1">
        <v>74</v>
      </c>
      <c r="H409" s="16">
        <f t="shared" si="44"/>
        <v>66.11</v>
      </c>
    </row>
    <row r="410" spans="1:8" ht="13.5">
      <c r="A410" s="4">
        <v>408</v>
      </c>
      <c r="B410" s="6" t="s">
        <v>95</v>
      </c>
      <c r="C410" s="6" t="str">
        <f>"2020040509"</f>
        <v>2020040509</v>
      </c>
      <c r="D410" s="1">
        <v>73.7</v>
      </c>
      <c r="E410" s="2">
        <v>78.5</v>
      </c>
      <c r="F410" s="3">
        <f t="shared" si="43"/>
        <v>152.2</v>
      </c>
      <c r="G410" s="1">
        <v>70.4</v>
      </c>
      <c r="H410" s="16">
        <f t="shared" si="44"/>
        <v>73.82</v>
      </c>
    </row>
    <row r="411" spans="1:8" ht="13.5">
      <c r="A411" s="4">
        <v>409</v>
      </c>
      <c r="B411" s="6" t="s">
        <v>95</v>
      </c>
      <c r="C411" s="6" t="s">
        <v>214</v>
      </c>
      <c r="D411" s="1">
        <v>72.8</v>
      </c>
      <c r="E411" s="2">
        <v>63</v>
      </c>
      <c r="F411" s="7">
        <v>135.8</v>
      </c>
      <c r="G411" s="1">
        <v>69.6</v>
      </c>
      <c r="H411" s="16">
        <f t="shared" si="44"/>
        <v>68.58</v>
      </c>
    </row>
    <row r="412" spans="1:8" ht="13.5">
      <c r="A412" s="4">
        <v>410</v>
      </c>
      <c r="B412" s="6" t="s">
        <v>148</v>
      </c>
      <c r="C412" s="6" t="str">
        <f>"2020021313"</f>
        <v>2020021313</v>
      </c>
      <c r="D412" s="1">
        <v>70</v>
      </c>
      <c r="E412" s="2">
        <v>81.5</v>
      </c>
      <c r="F412" s="3">
        <f aca="true" t="shared" si="45" ref="F412:F436">D412+E412</f>
        <v>151.5</v>
      </c>
      <c r="G412" s="1">
        <v>71.8</v>
      </c>
      <c r="H412" s="16">
        <f t="shared" si="44"/>
        <v>74.16999999999999</v>
      </c>
    </row>
    <row r="413" spans="1:8" ht="13.5">
      <c r="A413" s="4">
        <v>411</v>
      </c>
      <c r="B413" s="6" t="s">
        <v>148</v>
      </c>
      <c r="C413" s="6" t="str">
        <f>"2020024813"</f>
        <v>2020024813</v>
      </c>
      <c r="D413" s="1">
        <v>72.3</v>
      </c>
      <c r="E413" s="2">
        <v>72</v>
      </c>
      <c r="F413" s="3">
        <f t="shared" si="45"/>
        <v>144.3</v>
      </c>
      <c r="G413" s="9">
        <v>75.8</v>
      </c>
      <c r="H413" s="16">
        <f t="shared" si="44"/>
        <v>73.61</v>
      </c>
    </row>
    <row r="414" spans="1:8" ht="13.5">
      <c r="A414" s="4">
        <v>412</v>
      </c>
      <c r="B414" s="6" t="s">
        <v>148</v>
      </c>
      <c r="C414" s="6" t="str">
        <f>"2020012004"</f>
        <v>2020012004</v>
      </c>
      <c r="D414" s="1">
        <v>64.4</v>
      </c>
      <c r="E414" s="2">
        <v>74.5</v>
      </c>
      <c r="F414" s="3">
        <f t="shared" si="45"/>
        <v>138.9</v>
      </c>
      <c r="G414" s="1">
        <v>76.4</v>
      </c>
      <c r="H414" s="16">
        <f t="shared" si="44"/>
        <v>72.23</v>
      </c>
    </row>
    <row r="415" spans="1:8" ht="13.5">
      <c r="A415" s="4">
        <v>413</v>
      </c>
      <c r="B415" s="6" t="s">
        <v>148</v>
      </c>
      <c r="C415" s="6" t="str">
        <f>"2020044501"</f>
        <v>2020044501</v>
      </c>
      <c r="D415" s="1">
        <v>73</v>
      </c>
      <c r="E415" s="2">
        <v>64</v>
      </c>
      <c r="F415" s="3">
        <f t="shared" si="45"/>
        <v>137</v>
      </c>
      <c r="G415" s="9">
        <v>71.8</v>
      </c>
      <c r="H415" s="16">
        <f t="shared" si="44"/>
        <v>69.82</v>
      </c>
    </row>
    <row r="416" spans="1:8" ht="15.75">
      <c r="A416" s="4">
        <v>414</v>
      </c>
      <c r="B416" s="6" t="s">
        <v>148</v>
      </c>
      <c r="C416" s="6" t="str">
        <f>"2020014018"</f>
        <v>2020014018</v>
      </c>
      <c r="D416" s="1">
        <v>70.3</v>
      </c>
      <c r="E416" s="2">
        <v>74</v>
      </c>
      <c r="F416" s="3">
        <f t="shared" si="45"/>
        <v>144.3</v>
      </c>
      <c r="G416" s="10" t="s">
        <v>232</v>
      </c>
      <c r="H416" s="16">
        <f>F416/2*0.6</f>
        <v>43.29</v>
      </c>
    </row>
    <row r="417" spans="1:8" ht="15.75">
      <c r="A417" s="4">
        <v>415</v>
      </c>
      <c r="B417" s="6" t="s">
        <v>148</v>
      </c>
      <c r="C417" s="6" t="str">
        <f>"2020045916"</f>
        <v>2020045916</v>
      </c>
      <c r="D417" s="1">
        <v>74.8</v>
      </c>
      <c r="E417" s="2">
        <v>64.5</v>
      </c>
      <c r="F417" s="3">
        <f t="shared" si="45"/>
        <v>139.3</v>
      </c>
      <c r="G417" s="10" t="s">
        <v>232</v>
      </c>
      <c r="H417" s="16">
        <f>F417/2*0.6</f>
        <v>41.79</v>
      </c>
    </row>
    <row r="418" spans="1:8" ht="13.5">
      <c r="A418" s="4">
        <v>416</v>
      </c>
      <c r="B418" s="6" t="s">
        <v>160</v>
      </c>
      <c r="C418" s="6" t="str">
        <f>"2020020820"</f>
        <v>2020020820</v>
      </c>
      <c r="D418" s="1">
        <v>76.7</v>
      </c>
      <c r="E418" s="2">
        <v>68</v>
      </c>
      <c r="F418" s="3">
        <f t="shared" si="45"/>
        <v>144.7</v>
      </c>
      <c r="G418" s="1">
        <v>75.1</v>
      </c>
      <c r="H418" s="16">
        <f aca="true" t="shared" si="46" ref="H418:H425">F418*0.5*0.6+G418*0.4</f>
        <v>73.44999999999999</v>
      </c>
    </row>
    <row r="419" spans="1:8" ht="13.5">
      <c r="A419" s="4">
        <v>417</v>
      </c>
      <c r="B419" s="6" t="s">
        <v>160</v>
      </c>
      <c r="C419" s="6" t="str">
        <f>"2020032430"</f>
        <v>2020032430</v>
      </c>
      <c r="D419" s="1">
        <v>68.3</v>
      </c>
      <c r="E419" s="2">
        <v>77</v>
      </c>
      <c r="F419" s="3">
        <f t="shared" si="45"/>
        <v>145.3</v>
      </c>
      <c r="G419" s="1">
        <v>72.6</v>
      </c>
      <c r="H419" s="16">
        <f t="shared" si="46"/>
        <v>72.63</v>
      </c>
    </row>
    <row r="420" spans="1:8" ht="13.5">
      <c r="A420" s="4">
        <v>418</v>
      </c>
      <c r="B420" s="6" t="s">
        <v>160</v>
      </c>
      <c r="C420" s="6" t="str">
        <f>"2020022903"</f>
        <v>2020022903</v>
      </c>
      <c r="D420" s="1">
        <v>73.9</v>
      </c>
      <c r="E420" s="2">
        <v>66.5</v>
      </c>
      <c r="F420" s="3">
        <f t="shared" si="45"/>
        <v>140.4</v>
      </c>
      <c r="G420" s="1">
        <v>62.8</v>
      </c>
      <c r="H420" s="16">
        <f t="shared" si="46"/>
        <v>67.24</v>
      </c>
    </row>
    <row r="421" spans="1:8" ht="13.5">
      <c r="A421" s="4">
        <v>419</v>
      </c>
      <c r="B421" s="6" t="s">
        <v>134</v>
      </c>
      <c r="C421" s="6" t="str">
        <f>"2020044914"</f>
        <v>2020044914</v>
      </c>
      <c r="D421" s="1">
        <v>68.9</v>
      </c>
      <c r="E421" s="2">
        <v>75</v>
      </c>
      <c r="F421" s="3">
        <f t="shared" si="45"/>
        <v>143.9</v>
      </c>
      <c r="G421" s="1">
        <v>81.3</v>
      </c>
      <c r="H421" s="16">
        <f t="shared" si="46"/>
        <v>75.69</v>
      </c>
    </row>
    <row r="422" spans="1:8" ht="13.5">
      <c r="A422" s="4">
        <v>420</v>
      </c>
      <c r="B422" s="6" t="s">
        <v>134</v>
      </c>
      <c r="C422" s="6" t="str">
        <f>"2020032315"</f>
        <v>2020032315</v>
      </c>
      <c r="D422" s="1">
        <v>67.7</v>
      </c>
      <c r="E422" s="2">
        <v>58</v>
      </c>
      <c r="F422" s="3">
        <f t="shared" si="45"/>
        <v>125.7</v>
      </c>
      <c r="G422" s="1">
        <v>79</v>
      </c>
      <c r="H422" s="16">
        <f t="shared" si="46"/>
        <v>69.31</v>
      </c>
    </row>
    <row r="423" spans="1:8" ht="13.5">
      <c r="A423" s="4">
        <v>421</v>
      </c>
      <c r="B423" s="6" t="s">
        <v>134</v>
      </c>
      <c r="C423" s="6" t="str">
        <f>"2020045126"</f>
        <v>2020045126</v>
      </c>
      <c r="D423" s="1">
        <v>68.7</v>
      </c>
      <c r="E423" s="2">
        <v>58.5</v>
      </c>
      <c r="F423" s="3">
        <f t="shared" si="45"/>
        <v>127.2</v>
      </c>
      <c r="G423" s="1">
        <v>65.6</v>
      </c>
      <c r="H423" s="16">
        <f t="shared" si="46"/>
        <v>64.39999999999999</v>
      </c>
    </row>
    <row r="424" spans="1:8" ht="13.5">
      <c r="A424" s="4">
        <v>422</v>
      </c>
      <c r="B424" s="6" t="s">
        <v>92</v>
      </c>
      <c r="C424" s="6" t="str">
        <f>"2020041801"</f>
        <v>2020041801</v>
      </c>
      <c r="D424" s="1">
        <v>72.7</v>
      </c>
      <c r="E424" s="2">
        <v>71</v>
      </c>
      <c r="F424" s="3">
        <f t="shared" si="45"/>
        <v>143.7</v>
      </c>
      <c r="G424" s="1">
        <v>74.3</v>
      </c>
      <c r="H424" s="16">
        <f t="shared" si="46"/>
        <v>72.82999999999998</v>
      </c>
    </row>
    <row r="425" spans="1:8" ht="13.5">
      <c r="A425" s="4">
        <v>423</v>
      </c>
      <c r="B425" s="6" t="s">
        <v>92</v>
      </c>
      <c r="C425" s="6" t="str">
        <f>"2020045219"</f>
        <v>2020045219</v>
      </c>
      <c r="D425" s="1">
        <v>64.7</v>
      </c>
      <c r="E425" s="2">
        <v>76.5</v>
      </c>
      <c r="F425" s="3">
        <f t="shared" si="45"/>
        <v>141.2</v>
      </c>
      <c r="G425" s="1">
        <v>71.8</v>
      </c>
      <c r="H425" s="16">
        <f t="shared" si="46"/>
        <v>71.07999999999998</v>
      </c>
    </row>
    <row r="426" spans="1:8" ht="15.75">
      <c r="A426" s="4">
        <v>424</v>
      </c>
      <c r="B426" s="6" t="s">
        <v>92</v>
      </c>
      <c r="C426" s="6" t="str">
        <f>"2020046623"</f>
        <v>2020046623</v>
      </c>
      <c r="D426" s="1">
        <v>59.5</v>
      </c>
      <c r="E426" s="2">
        <v>79</v>
      </c>
      <c r="F426" s="3">
        <f t="shared" si="45"/>
        <v>138.5</v>
      </c>
      <c r="G426" s="8" t="s">
        <v>232</v>
      </c>
      <c r="H426" s="16">
        <f>F426/2*0.6</f>
        <v>41.55</v>
      </c>
    </row>
    <row r="427" spans="1:8" ht="13.5">
      <c r="A427" s="4">
        <v>425</v>
      </c>
      <c r="B427" s="6" t="s">
        <v>48</v>
      </c>
      <c r="C427" s="6" t="str">
        <f>"2020041514"</f>
        <v>2020041514</v>
      </c>
      <c r="D427" s="1">
        <v>73.3</v>
      </c>
      <c r="E427" s="2">
        <v>84.5</v>
      </c>
      <c r="F427" s="3">
        <f t="shared" si="45"/>
        <v>157.8</v>
      </c>
      <c r="G427" s="1">
        <v>77.8</v>
      </c>
      <c r="H427" s="16">
        <f>F427*0.5*0.6+G427*0.4</f>
        <v>78.46000000000001</v>
      </c>
    </row>
    <row r="428" spans="1:8" ht="13.5">
      <c r="A428" s="4">
        <v>426</v>
      </c>
      <c r="B428" s="6" t="s">
        <v>48</v>
      </c>
      <c r="C428" s="6" t="str">
        <f>"2020047412"</f>
        <v>2020047412</v>
      </c>
      <c r="D428" s="1">
        <v>79.6</v>
      </c>
      <c r="E428" s="2">
        <v>71</v>
      </c>
      <c r="F428" s="3">
        <f t="shared" si="45"/>
        <v>150.6</v>
      </c>
      <c r="G428" s="1">
        <v>76.4</v>
      </c>
      <c r="H428" s="16">
        <f>F428*0.5*0.6+G428*0.4</f>
        <v>75.74000000000001</v>
      </c>
    </row>
    <row r="429" spans="1:8" ht="13.5">
      <c r="A429" s="4">
        <v>427</v>
      </c>
      <c r="B429" s="6" t="s">
        <v>48</v>
      </c>
      <c r="C429" s="6" t="str">
        <f>"2020024116"</f>
        <v>2020024116</v>
      </c>
      <c r="D429" s="1">
        <v>74.4</v>
      </c>
      <c r="E429" s="2">
        <v>81.5</v>
      </c>
      <c r="F429" s="3">
        <f t="shared" si="45"/>
        <v>155.9</v>
      </c>
      <c r="G429" s="1">
        <v>70.8</v>
      </c>
      <c r="H429" s="16">
        <f>F429*0.5*0.6+G429*0.4</f>
        <v>75.09</v>
      </c>
    </row>
    <row r="430" spans="1:8" ht="13.5">
      <c r="A430" s="4">
        <v>428</v>
      </c>
      <c r="B430" s="6" t="s">
        <v>0</v>
      </c>
      <c r="C430" s="6" t="str">
        <f>"2020042804"</f>
        <v>2020042804</v>
      </c>
      <c r="D430" s="1">
        <v>68.4</v>
      </c>
      <c r="E430" s="2">
        <v>77.5</v>
      </c>
      <c r="F430" s="3">
        <f t="shared" si="45"/>
        <v>145.9</v>
      </c>
      <c r="G430" s="1">
        <v>74.4</v>
      </c>
      <c r="H430" s="16">
        <f>F430*0.5*0.6+G430*0.4</f>
        <v>73.53</v>
      </c>
    </row>
    <row r="431" spans="1:8" ht="13.5">
      <c r="A431" s="4">
        <v>429</v>
      </c>
      <c r="B431" s="6" t="s">
        <v>0</v>
      </c>
      <c r="C431" s="6" t="str">
        <f>"2020046629"</f>
        <v>2020046629</v>
      </c>
      <c r="D431" s="1">
        <v>75</v>
      </c>
      <c r="E431" s="2">
        <v>65.5</v>
      </c>
      <c r="F431" s="3">
        <f t="shared" si="45"/>
        <v>140.5</v>
      </c>
      <c r="G431" s="1">
        <v>75.2</v>
      </c>
      <c r="H431" s="16">
        <f>F431*0.5*0.6+G431*0.4</f>
        <v>72.23</v>
      </c>
    </row>
    <row r="432" spans="1:8" ht="15.75">
      <c r="A432" s="4">
        <v>430</v>
      </c>
      <c r="B432" s="6" t="s">
        <v>0</v>
      </c>
      <c r="C432" s="6" t="str">
        <f>"2020024003"</f>
        <v>2020024003</v>
      </c>
      <c r="D432" s="1">
        <v>68.1</v>
      </c>
      <c r="E432" s="2">
        <v>56.5</v>
      </c>
      <c r="F432" s="3">
        <f t="shared" si="45"/>
        <v>124.6</v>
      </c>
      <c r="G432" s="8" t="s">
        <v>232</v>
      </c>
      <c r="H432" s="16">
        <f>F432/2*0.6</f>
        <v>37.379999999999995</v>
      </c>
    </row>
    <row r="433" spans="1:8" ht="13.5">
      <c r="A433" s="4">
        <v>431</v>
      </c>
      <c r="B433" s="6" t="s">
        <v>156</v>
      </c>
      <c r="C433" s="6" t="str">
        <f>"2020023730"</f>
        <v>2020023730</v>
      </c>
      <c r="D433" s="1">
        <v>65.5</v>
      </c>
      <c r="E433" s="2">
        <v>81.5</v>
      </c>
      <c r="F433" s="3">
        <f t="shared" si="45"/>
        <v>147</v>
      </c>
      <c r="G433" s="1">
        <v>76.8</v>
      </c>
      <c r="H433" s="16">
        <f aca="true" t="shared" si="47" ref="H433:H464">F433*0.5*0.6+G433*0.4</f>
        <v>74.82</v>
      </c>
    </row>
    <row r="434" spans="1:8" ht="13.5">
      <c r="A434" s="4">
        <v>432</v>
      </c>
      <c r="B434" s="6" t="s">
        <v>156</v>
      </c>
      <c r="C434" s="6" t="str">
        <f>"2020010513"</f>
        <v>2020010513</v>
      </c>
      <c r="D434" s="1">
        <v>69.6</v>
      </c>
      <c r="E434" s="2">
        <v>74</v>
      </c>
      <c r="F434" s="3">
        <f t="shared" si="45"/>
        <v>143.6</v>
      </c>
      <c r="G434" s="1">
        <v>78.4</v>
      </c>
      <c r="H434" s="16">
        <f t="shared" si="47"/>
        <v>74.44</v>
      </c>
    </row>
    <row r="435" spans="1:8" ht="13.5">
      <c r="A435" s="4">
        <v>433</v>
      </c>
      <c r="B435" s="6" t="s">
        <v>111</v>
      </c>
      <c r="C435" s="6" t="str">
        <f>"2020020505"</f>
        <v>2020020505</v>
      </c>
      <c r="D435" s="1">
        <v>74.4</v>
      </c>
      <c r="E435" s="2">
        <v>78.5</v>
      </c>
      <c r="F435" s="3">
        <f t="shared" si="45"/>
        <v>152.9</v>
      </c>
      <c r="G435" s="1">
        <v>76</v>
      </c>
      <c r="H435" s="16">
        <f t="shared" si="47"/>
        <v>76.27</v>
      </c>
    </row>
    <row r="436" spans="1:8" ht="13.5">
      <c r="A436" s="4">
        <v>434</v>
      </c>
      <c r="B436" s="6" t="s">
        <v>111</v>
      </c>
      <c r="C436" s="6" t="str">
        <f>"2020046324"</f>
        <v>2020046324</v>
      </c>
      <c r="D436" s="1">
        <v>69</v>
      </c>
      <c r="E436" s="2">
        <v>73</v>
      </c>
      <c r="F436" s="3">
        <f t="shared" si="45"/>
        <v>142</v>
      </c>
      <c r="G436" s="1">
        <v>73</v>
      </c>
      <c r="H436" s="16">
        <f t="shared" si="47"/>
        <v>71.80000000000001</v>
      </c>
    </row>
    <row r="437" spans="1:8" ht="13.5">
      <c r="A437" s="4">
        <v>435</v>
      </c>
      <c r="B437" s="6" t="s">
        <v>111</v>
      </c>
      <c r="C437" s="6" t="s">
        <v>215</v>
      </c>
      <c r="D437" s="1">
        <v>72.9</v>
      </c>
      <c r="E437" s="2">
        <v>58.5</v>
      </c>
      <c r="F437" s="7">
        <v>131.4</v>
      </c>
      <c r="G437" s="1">
        <v>72.8</v>
      </c>
      <c r="H437" s="16">
        <f t="shared" si="47"/>
        <v>68.54</v>
      </c>
    </row>
    <row r="438" spans="1:8" ht="13.5">
      <c r="A438" s="4">
        <v>436</v>
      </c>
      <c r="B438" s="6" t="s">
        <v>126</v>
      </c>
      <c r="C438" s="6" t="str">
        <f>"2020024325"</f>
        <v>2020024325</v>
      </c>
      <c r="D438" s="1">
        <v>71.4</v>
      </c>
      <c r="E438" s="2">
        <v>80.5</v>
      </c>
      <c r="F438" s="3">
        <f aca="true" t="shared" si="48" ref="F438:F444">D438+E438</f>
        <v>151.9</v>
      </c>
      <c r="G438" s="1">
        <v>75.2</v>
      </c>
      <c r="H438" s="16">
        <f t="shared" si="47"/>
        <v>75.65</v>
      </c>
    </row>
    <row r="439" spans="1:8" ht="13.5">
      <c r="A439" s="4">
        <v>437</v>
      </c>
      <c r="B439" s="6" t="s">
        <v>126</v>
      </c>
      <c r="C439" s="6" t="str">
        <f>"2020024503"</f>
        <v>2020024503</v>
      </c>
      <c r="D439" s="1">
        <v>72.3</v>
      </c>
      <c r="E439" s="2">
        <v>77.5</v>
      </c>
      <c r="F439" s="3">
        <f t="shared" si="48"/>
        <v>149.8</v>
      </c>
      <c r="G439" s="1">
        <v>74.2</v>
      </c>
      <c r="H439" s="16">
        <f t="shared" si="47"/>
        <v>74.62</v>
      </c>
    </row>
    <row r="440" spans="1:8" ht="13.5">
      <c r="A440" s="4">
        <v>438</v>
      </c>
      <c r="B440" s="6" t="s">
        <v>126</v>
      </c>
      <c r="C440" s="6" t="str">
        <f>"2020010305"</f>
        <v>2020010305</v>
      </c>
      <c r="D440" s="1">
        <v>74.8</v>
      </c>
      <c r="E440" s="2">
        <v>68.5</v>
      </c>
      <c r="F440" s="3">
        <f t="shared" si="48"/>
        <v>143.3</v>
      </c>
      <c r="G440" s="1">
        <v>74.4</v>
      </c>
      <c r="H440" s="16">
        <f t="shared" si="47"/>
        <v>72.75</v>
      </c>
    </row>
    <row r="441" spans="1:8" ht="13.5">
      <c r="A441" s="4">
        <v>439</v>
      </c>
      <c r="B441" s="6" t="s">
        <v>126</v>
      </c>
      <c r="C441" s="6" t="str">
        <f>"2020030823"</f>
        <v>2020030823</v>
      </c>
      <c r="D441" s="1">
        <v>65.4</v>
      </c>
      <c r="E441" s="2">
        <v>75.5</v>
      </c>
      <c r="F441" s="3">
        <f t="shared" si="48"/>
        <v>140.9</v>
      </c>
      <c r="G441" s="1">
        <v>74.4</v>
      </c>
      <c r="H441" s="16">
        <f t="shared" si="47"/>
        <v>72.03</v>
      </c>
    </row>
    <row r="442" spans="1:8" ht="13.5">
      <c r="A442" s="4">
        <v>440</v>
      </c>
      <c r="B442" s="6" t="s">
        <v>126</v>
      </c>
      <c r="C442" s="6" t="str">
        <f>"2020042121"</f>
        <v>2020042121</v>
      </c>
      <c r="D442" s="1">
        <v>66.5</v>
      </c>
      <c r="E442" s="2">
        <v>72.5</v>
      </c>
      <c r="F442" s="3">
        <f t="shared" si="48"/>
        <v>139</v>
      </c>
      <c r="G442" s="1">
        <v>72.8</v>
      </c>
      <c r="H442" s="16">
        <f t="shared" si="47"/>
        <v>70.82</v>
      </c>
    </row>
    <row r="443" spans="1:8" ht="13.5">
      <c r="A443" s="4">
        <v>441</v>
      </c>
      <c r="B443" s="6" t="s">
        <v>126</v>
      </c>
      <c r="C443" s="6" t="str">
        <f>"2020011814"</f>
        <v>2020011814</v>
      </c>
      <c r="D443" s="1">
        <v>66.8</v>
      </c>
      <c r="E443" s="2">
        <v>72.5</v>
      </c>
      <c r="F443" s="3">
        <f t="shared" si="48"/>
        <v>139.3</v>
      </c>
      <c r="G443" s="1">
        <v>67.4</v>
      </c>
      <c r="H443" s="16">
        <f t="shared" si="47"/>
        <v>68.75</v>
      </c>
    </row>
    <row r="444" spans="1:8" ht="13.5">
      <c r="A444" s="4">
        <v>442</v>
      </c>
      <c r="B444" s="6" t="s">
        <v>137</v>
      </c>
      <c r="C444" s="6" t="str">
        <f>"2020022221"</f>
        <v>2020022221</v>
      </c>
      <c r="D444" s="1">
        <v>73.4</v>
      </c>
      <c r="E444" s="2">
        <v>85</v>
      </c>
      <c r="F444" s="3">
        <f t="shared" si="48"/>
        <v>158.4</v>
      </c>
      <c r="G444" s="1">
        <v>75.9</v>
      </c>
      <c r="H444" s="16">
        <f t="shared" si="47"/>
        <v>77.88000000000001</v>
      </c>
    </row>
    <row r="445" spans="1:8" ht="13.5">
      <c r="A445" s="4">
        <v>443</v>
      </c>
      <c r="B445" s="6" t="s">
        <v>137</v>
      </c>
      <c r="C445" s="6" t="s">
        <v>216</v>
      </c>
      <c r="D445" s="1">
        <v>62</v>
      </c>
      <c r="E445" s="2">
        <v>86</v>
      </c>
      <c r="F445" s="7">
        <v>148</v>
      </c>
      <c r="G445" s="1">
        <v>76.2</v>
      </c>
      <c r="H445" s="16">
        <f t="shared" si="47"/>
        <v>74.88</v>
      </c>
    </row>
    <row r="446" spans="1:8" ht="13.5">
      <c r="A446" s="4">
        <v>444</v>
      </c>
      <c r="B446" s="6" t="s">
        <v>32</v>
      </c>
      <c r="C446" s="6" t="str">
        <f>"2020042819"</f>
        <v>2020042819</v>
      </c>
      <c r="D446" s="1">
        <v>61.6</v>
      </c>
      <c r="E446" s="2">
        <v>58.5</v>
      </c>
      <c r="F446" s="3">
        <f aca="true" t="shared" si="49" ref="F446:F468">D446+E446</f>
        <v>120.1</v>
      </c>
      <c r="G446" s="1">
        <v>77.6</v>
      </c>
      <c r="H446" s="16">
        <f t="shared" si="47"/>
        <v>67.07</v>
      </c>
    </row>
    <row r="447" spans="1:8" ht="13.5">
      <c r="A447" s="4">
        <v>445</v>
      </c>
      <c r="B447" s="6" t="s">
        <v>32</v>
      </c>
      <c r="C447" s="6" t="str">
        <f>"2020045012"</f>
        <v>2020045012</v>
      </c>
      <c r="D447" s="1">
        <v>57.1</v>
      </c>
      <c r="E447" s="2">
        <v>61.5</v>
      </c>
      <c r="F447" s="3">
        <f t="shared" si="49"/>
        <v>118.6</v>
      </c>
      <c r="G447" s="1">
        <v>74.1</v>
      </c>
      <c r="H447" s="16">
        <f t="shared" si="47"/>
        <v>65.22</v>
      </c>
    </row>
    <row r="448" spans="1:8" ht="13.5">
      <c r="A448" s="4">
        <v>446</v>
      </c>
      <c r="B448" s="6" t="s">
        <v>32</v>
      </c>
      <c r="C448" s="6" t="str">
        <f>"2020041405"</f>
        <v>2020041405</v>
      </c>
      <c r="D448" s="1">
        <v>60</v>
      </c>
      <c r="E448" s="2">
        <v>46.5</v>
      </c>
      <c r="F448" s="3">
        <f t="shared" si="49"/>
        <v>106.5</v>
      </c>
      <c r="G448" s="1">
        <v>70.2</v>
      </c>
      <c r="H448" s="16">
        <f t="shared" si="47"/>
        <v>60.03</v>
      </c>
    </row>
    <row r="449" spans="1:8" ht="13.5">
      <c r="A449" s="4">
        <v>447</v>
      </c>
      <c r="B449" s="6" t="s">
        <v>4</v>
      </c>
      <c r="C449" s="6" t="str">
        <f>"2020043313"</f>
        <v>2020043313</v>
      </c>
      <c r="D449" s="1">
        <v>62.5</v>
      </c>
      <c r="E449" s="2">
        <v>72.5</v>
      </c>
      <c r="F449" s="3">
        <f t="shared" si="49"/>
        <v>135</v>
      </c>
      <c r="G449" s="1">
        <v>57.9</v>
      </c>
      <c r="H449" s="16">
        <f t="shared" si="47"/>
        <v>63.66</v>
      </c>
    </row>
    <row r="450" spans="1:8" ht="13.5">
      <c r="A450" s="4">
        <v>448</v>
      </c>
      <c r="B450" s="6" t="s">
        <v>34</v>
      </c>
      <c r="C450" s="6" t="str">
        <f>"2020030217"</f>
        <v>2020030217</v>
      </c>
      <c r="D450" s="1">
        <v>64.3</v>
      </c>
      <c r="E450" s="2">
        <v>79.5</v>
      </c>
      <c r="F450" s="3">
        <f t="shared" si="49"/>
        <v>143.8</v>
      </c>
      <c r="G450" s="1">
        <v>75.6</v>
      </c>
      <c r="H450" s="16">
        <f t="shared" si="47"/>
        <v>73.38</v>
      </c>
    </row>
    <row r="451" spans="1:8" ht="13.5">
      <c r="A451" s="4">
        <v>449</v>
      </c>
      <c r="B451" s="6" t="s">
        <v>34</v>
      </c>
      <c r="C451" s="6" t="str">
        <f>"2020045422"</f>
        <v>2020045422</v>
      </c>
      <c r="D451" s="1">
        <v>74.6</v>
      </c>
      <c r="E451" s="2">
        <v>70</v>
      </c>
      <c r="F451" s="3">
        <f t="shared" si="49"/>
        <v>144.6</v>
      </c>
      <c r="G451" s="1">
        <v>74.6</v>
      </c>
      <c r="H451" s="16">
        <f t="shared" si="47"/>
        <v>73.22</v>
      </c>
    </row>
    <row r="452" spans="1:8" ht="13.5">
      <c r="A452" s="4">
        <v>450</v>
      </c>
      <c r="B452" s="6" t="s">
        <v>34</v>
      </c>
      <c r="C452" s="6" t="str">
        <f>"2020046321"</f>
        <v>2020046321</v>
      </c>
      <c r="D452" s="1">
        <v>76</v>
      </c>
      <c r="E452" s="2">
        <v>68</v>
      </c>
      <c r="F452" s="3">
        <f t="shared" si="49"/>
        <v>144</v>
      </c>
      <c r="G452" s="1">
        <v>73.1</v>
      </c>
      <c r="H452" s="16">
        <f t="shared" si="47"/>
        <v>72.44</v>
      </c>
    </row>
    <row r="453" spans="1:8" ht="13.5">
      <c r="A453" s="4">
        <v>451</v>
      </c>
      <c r="B453" s="6" t="s">
        <v>23</v>
      </c>
      <c r="C453" s="6" t="str">
        <f>"2020042504"</f>
        <v>2020042504</v>
      </c>
      <c r="D453" s="1">
        <v>77.3</v>
      </c>
      <c r="E453" s="2">
        <v>75</v>
      </c>
      <c r="F453" s="3">
        <f t="shared" si="49"/>
        <v>152.3</v>
      </c>
      <c r="G453" s="1">
        <v>73.3</v>
      </c>
      <c r="H453" s="16">
        <f t="shared" si="47"/>
        <v>75.01</v>
      </c>
    </row>
    <row r="454" spans="1:8" ht="13.5">
      <c r="A454" s="4">
        <v>452</v>
      </c>
      <c r="B454" s="6" t="s">
        <v>23</v>
      </c>
      <c r="C454" s="6" t="str">
        <f>"2020010610"</f>
        <v>2020010610</v>
      </c>
      <c r="D454" s="1">
        <v>71.7</v>
      </c>
      <c r="E454" s="2">
        <v>77</v>
      </c>
      <c r="F454" s="3">
        <f t="shared" si="49"/>
        <v>148.7</v>
      </c>
      <c r="G454" s="1">
        <v>74.4</v>
      </c>
      <c r="H454" s="16">
        <f t="shared" si="47"/>
        <v>74.37</v>
      </c>
    </row>
    <row r="455" spans="1:8" ht="13.5">
      <c r="A455" s="4">
        <v>453</v>
      </c>
      <c r="B455" s="6" t="s">
        <v>23</v>
      </c>
      <c r="C455" s="6" t="str">
        <f>"2020021717"</f>
        <v>2020021717</v>
      </c>
      <c r="D455" s="1">
        <v>74.1</v>
      </c>
      <c r="E455" s="2">
        <v>75</v>
      </c>
      <c r="F455" s="3">
        <f t="shared" si="49"/>
        <v>149.1</v>
      </c>
      <c r="G455" s="1">
        <v>73.8</v>
      </c>
      <c r="H455" s="16">
        <f t="shared" si="47"/>
        <v>74.25</v>
      </c>
    </row>
    <row r="456" spans="1:8" ht="13.5">
      <c r="A456" s="4">
        <v>454</v>
      </c>
      <c r="B456" s="6" t="s">
        <v>146</v>
      </c>
      <c r="C456" s="6" t="str">
        <f>"2020043606"</f>
        <v>2020043606</v>
      </c>
      <c r="D456" s="1">
        <v>76.1</v>
      </c>
      <c r="E456" s="2">
        <v>83.5</v>
      </c>
      <c r="F456" s="3">
        <f t="shared" si="49"/>
        <v>159.6</v>
      </c>
      <c r="G456" s="1">
        <v>72.9</v>
      </c>
      <c r="H456" s="16">
        <f t="shared" si="47"/>
        <v>77.03999999999999</v>
      </c>
    </row>
    <row r="457" spans="1:8" ht="13.5">
      <c r="A457" s="4">
        <v>455</v>
      </c>
      <c r="B457" s="6" t="s">
        <v>146</v>
      </c>
      <c r="C457" s="6" t="str">
        <f>"2020031607"</f>
        <v>2020031607</v>
      </c>
      <c r="D457" s="1">
        <v>76.6</v>
      </c>
      <c r="E457" s="2">
        <v>75.5</v>
      </c>
      <c r="F457" s="3">
        <f t="shared" si="49"/>
        <v>152.1</v>
      </c>
      <c r="G457" s="1">
        <v>77.2</v>
      </c>
      <c r="H457" s="16">
        <f t="shared" si="47"/>
        <v>76.50999999999999</v>
      </c>
    </row>
    <row r="458" spans="1:8" ht="13.5">
      <c r="A458" s="4">
        <v>456</v>
      </c>
      <c r="B458" s="6" t="s">
        <v>146</v>
      </c>
      <c r="C458" s="6" t="str">
        <f>"2020030325"</f>
        <v>2020030325</v>
      </c>
      <c r="D458" s="1">
        <v>69.1</v>
      </c>
      <c r="E458" s="2">
        <v>88</v>
      </c>
      <c r="F458" s="3">
        <f t="shared" si="49"/>
        <v>157.1</v>
      </c>
      <c r="G458" s="1">
        <v>71.2</v>
      </c>
      <c r="H458" s="16">
        <f t="shared" si="47"/>
        <v>75.61</v>
      </c>
    </row>
    <row r="459" spans="1:8" ht="13.5">
      <c r="A459" s="4">
        <v>457</v>
      </c>
      <c r="B459" s="6" t="s">
        <v>17</v>
      </c>
      <c r="C459" s="6" t="str">
        <f>"2020030911"</f>
        <v>2020030911</v>
      </c>
      <c r="D459" s="1">
        <v>74.5</v>
      </c>
      <c r="E459" s="2">
        <v>70</v>
      </c>
      <c r="F459" s="3">
        <f t="shared" si="49"/>
        <v>144.5</v>
      </c>
      <c r="G459" s="1">
        <v>72.9</v>
      </c>
      <c r="H459" s="16">
        <f t="shared" si="47"/>
        <v>72.51</v>
      </c>
    </row>
    <row r="460" spans="1:8" ht="13.5">
      <c r="A460" s="4">
        <v>458</v>
      </c>
      <c r="B460" s="6" t="s">
        <v>17</v>
      </c>
      <c r="C460" s="6" t="str">
        <f>"2020031908"</f>
        <v>2020031908</v>
      </c>
      <c r="D460" s="1">
        <v>70.1</v>
      </c>
      <c r="E460" s="2">
        <v>68.5</v>
      </c>
      <c r="F460" s="3">
        <f t="shared" si="49"/>
        <v>138.6</v>
      </c>
      <c r="G460" s="1">
        <v>70.8</v>
      </c>
      <c r="H460" s="16">
        <f t="shared" si="47"/>
        <v>69.9</v>
      </c>
    </row>
    <row r="461" spans="1:8" ht="13.5">
      <c r="A461" s="4">
        <v>459</v>
      </c>
      <c r="B461" s="6" t="s">
        <v>114</v>
      </c>
      <c r="C461" s="6" t="str">
        <f>"2020011805"</f>
        <v>2020011805</v>
      </c>
      <c r="D461" s="1">
        <v>73.4</v>
      </c>
      <c r="E461" s="2">
        <v>81</v>
      </c>
      <c r="F461" s="3">
        <f t="shared" si="49"/>
        <v>154.4</v>
      </c>
      <c r="G461" s="1">
        <v>73</v>
      </c>
      <c r="H461" s="16">
        <f t="shared" si="47"/>
        <v>75.52000000000001</v>
      </c>
    </row>
    <row r="462" spans="1:8" ht="13.5">
      <c r="A462" s="4">
        <v>460</v>
      </c>
      <c r="B462" s="6" t="s">
        <v>114</v>
      </c>
      <c r="C462" s="6" t="str">
        <f>"2020047208"</f>
        <v>2020047208</v>
      </c>
      <c r="D462" s="1">
        <v>81.1</v>
      </c>
      <c r="E462" s="2">
        <v>69.5</v>
      </c>
      <c r="F462" s="3">
        <f t="shared" si="49"/>
        <v>150.6</v>
      </c>
      <c r="G462" s="1">
        <v>75.6</v>
      </c>
      <c r="H462" s="16">
        <f t="shared" si="47"/>
        <v>75.42</v>
      </c>
    </row>
    <row r="463" spans="1:8" ht="13.5">
      <c r="A463" s="4">
        <v>461</v>
      </c>
      <c r="B463" s="6" t="s">
        <v>57</v>
      </c>
      <c r="C463" s="6" t="str">
        <f>"2020042719"</f>
        <v>2020042719</v>
      </c>
      <c r="D463" s="1">
        <v>63.3</v>
      </c>
      <c r="E463" s="2">
        <v>80</v>
      </c>
      <c r="F463" s="3">
        <f t="shared" si="49"/>
        <v>143.3</v>
      </c>
      <c r="G463" s="1">
        <v>75.4</v>
      </c>
      <c r="H463" s="16">
        <f t="shared" si="47"/>
        <v>73.15</v>
      </c>
    </row>
    <row r="464" spans="1:8" ht="13.5">
      <c r="A464" s="4">
        <v>462</v>
      </c>
      <c r="B464" s="6" t="s">
        <v>57</v>
      </c>
      <c r="C464" s="6" t="str">
        <f>"2020023908"</f>
        <v>2020023908</v>
      </c>
      <c r="D464" s="1">
        <v>65.5</v>
      </c>
      <c r="E464" s="2">
        <v>73.5</v>
      </c>
      <c r="F464" s="3">
        <f t="shared" si="49"/>
        <v>139</v>
      </c>
      <c r="G464" s="9">
        <v>71.1</v>
      </c>
      <c r="H464" s="16">
        <f t="shared" si="47"/>
        <v>70.13999999999999</v>
      </c>
    </row>
    <row r="465" spans="1:8" ht="15.75">
      <c r="A465" s="4">
        <v>463</v>
      </c>
      <c r="B465" s="6" t="s">
        <v>57</v>
      </c>
      <c r="C465" s="6" t="str">
        <f>"2020021110"</f>
        <v>2020021110</v>
      </c>
      <c r="D465" s="1">
        <v>70</v>
      </c>
      <c r="E465" s="2">
        <v>71.5</v>
      </c>
      <c r="F465" s="3">
        <f t="shared" si="49"/>
        <v>141.5</v>
      </c>
      <c r="G465" s="10" t="s">
        <v>232</v>
      </c>
      <c r="H465" s="16">
        <f>F465/2*0.6</f>
        <v>42.449999999999996</v>
      </c>
    </row>
    <row r="466" spans="1:8" ht="13.5">
      <c r="A466" s="4">
        <v>464</v>
      </c>
      <c r="B466" s="6" t="s">
        <v>61</v>
      </c>
      <c r="C466" s="6" t="str">
        <f>"2020041917"</f>
        <v>2020041917</v>
      </c>
      <c r="D466" s="1">
        <v>75.2</v>
      </c>
      <c r="E466" s="2">
        <v>79.5</v>
      </c>
      <c r="F466" s="3">
        <f t="shared" si="49"/>
        <v>154.7</v>
      </c>
      <c r="G466" s="1">
        <v>73.8</v>
      </c>
      <c r="H466" s="16">
        <f aca="true" t="shared" si="50" ref="H466:H492">F466*0.5*0.6+G466*0.4</f>
        <v>75.92999999999999</v>
      </c>
    </row>
    <row r="467" spans="1:8" ht="13.5">
      <c r="A467" s="4">
        <v>465</v>
      </c>
      <c r="B467" s="6" t="s">
        <v>61</v>
      </c>
      <c r="C467" s="6" t="str">
        <f>"2020012829"</f>
        <v>2020012829</v>
      </c>
      <c r="D467" s="1">
        <v>66.9</v>
      </c>
      <c r="E467" s="2">
        <v>76</v>
      </c>
      <c r="F467" s="3">
        <f t="shared" si="49"/>
        <v>142.9</v>
      </c>
      <c r="G467" s="1">
        <v>76.6</v>
      </c>
      <c r="H467" s="16">
        <f t="shared" si="50"/>
        <v>73.50999999999999</v>
      </c>
    </row>
    <row r="468" spans="1:8" ht="13.5">
      <c r="A468" s="4">
        <v>466</v>
      </c>
      <c r="B468" s="6" t="s">
        <v>61</v>
      </c>
      <c r="C468" s="6" t="str">
        <f>"2020044519"</f>
        <v>2020044519</v>
      </c>
      <c r="D468" s="1">
        <v>77.6</v>
      </c>
      <c r="E468" s="2">
        <v>67.5</v>
      </c>
      <c r="F468" s="3">
        <f t="shared" si="49"/>
        <v>145.1</v>
      </c>
      <c r="G468" s="1">
        <v>74.4</v>
      </c>
      <c r="H468" s="16">
        <f t="shared" si="50"/>
        <v>73.28999999999999</v>
      </c>
    </row>
    <row r="469" spans="1:8" ht="13.5">
      <c r="A469" s="4">
        <v>467</v>
      </c>
      <c r="B469" s="6" t="s">
        <v>61</v>
      </c>
      <c r="C469" s="6" t="s">
        <v>218</v>
      </c>
      <c r="D469" s="1">
        <v>69.9</v>
      </c>
      <c r="E469" s="2">
        <v>71</v>
      </c>
      <c r="F469" s="7">
        <v>140.9</v>
      </c>
      <c r="G469" s="1">
        <v>74.4</v>
      </c>
      <c r="H469" s="16">
        <f t="shared" si="50"/>
        <v>72.03</v>
      </c>
    </row>
    <row r="470" spans="1:8" ht="13.5">
      <c r="A470" s="4">
        <v>468</v>
      </c>
      <c r="B470" s="6" t="s">
        <v>61</v>
      </c>
      <c r="C470" s="6" t="s">
        <v>217</v>
      </c>
      <c r="D470" s="1">
        <v>68.4</v>
      </c>
      <c r="E470" s="2">
        <v>73.5</v>
      </c>
      <c r="F470" s="7">
        <v>141.9</v>
      </c>
      <c r="G470" s="1">
        <v>70.3</v>
      </c>
      <c r="H470" s="16">
        <f t="shared" si="50"/>
        <v>70.69</v>
      </c>
    </row>
    <row r="471" spans="1:8" ht="13.5">
      <c r="A471" s="4">
        <v>469</v>
      </c>
      <c r="B471" s="6" t="s">
        <v>123</v>
      </c>
      <c r="C471" s="6" t="str">
        <f>"2020031802"</f>
        <v>2020031802</v>
      </c>
      <c r="D471" s="1">
        <v>63.9</v>
      </c>
      <c r="E471" s="2">
        <v>74.5</v>
      </c>
      <c r="F471" s="3">
        <f aca="true" t="shared" si="51" ref="F471:F486">D471+E471</f>
        <v>138.4</v>
      </c>
      <c r="G471" s="1">
        <v>74.2</v>
      </c>
      <c r="H471" s="16">
        <f t="shared" si="50"/>
        <v>71.2</v>
      </c>
    </row>
    <row r="472" spans="1:8" ht="13.5">
      <c r="A472" s="4">
        <v>470</v>
      </c>
      <c r="B472" s="6" t="s">
        <v>123</v>
      </c>
      <c r="C472" s="6" t="str">
        <f>"2020022220"</f>
        <v>2020022220</v>
      </c>
      <c r="D472" s="1">
        <v>60.8</v>
      </c>
      <c r="E472" s="2">
        <v>54</v>
      </c>
      <c r="F472" s="3">
        <f t="shared" si="51"/>
        <v>114.8</v>
      </c>
      <c r="G472" s="1">
        <v>65</v>
      </c>
      <c r="H472" s="16">
        <f t="shared" si="50"/>
        <v>60.44</v>
      </c>
    </row>
    <row r="473" spans="1:8" ht="13.5">
      <c r="A473" s="4">
        <v>471</v>
      </c>
      <c r="B473" s="6" t="s">
        <v>129</v>
      </c>
      <c r="C473" s="6" t="str">
        <f>"2020021016"</f>
        <v>2020021016</v>
      </c>
      <c r="D473" s="1">
        <v>71.1</v>
      </c>
      <c r="E473" s="2">
        <v>85.5</v>
      </c>
      <c r="F473" s="3">
        <f t="shared" si="51"/>
        <v>156.6</v>
      </c>
      <c r="G473" s="1">
        <v>72.8</v>
      </c>
      <c r="H473" s="16">
        <f t="shared" si="50"/>
        <v>76.1</v>
      </c>
    </row>
    <row r="474" spans="1:8" ht="13.5">
      <c r="A474" s="4">
        <v>472</v>
      </c>
      <c r="B474" s="6" t="s">
        <v>129</v>
      </c>
      <c r="C474" s="6" t="str">
        <f>"2020021229"</f>
        <v>2020021229</v>
      </c>
      <c r="D474" s="1">
        <v>72.7</v>
      </c>
      <c r="E474" s="2">
        <v>78</v>
      </c>
      <c r="F474" s="3">
        <f t="shared" si="51"/>
        <v>150.7</v>
      </c>
      <c r="G474" s="1">
        <v>76.9</v>
      </c>
      <c r="H474" s="16">
        <f t="shared" si="50"/>
        <v>75.97</v>
      </c>
    </row>
    <row r="475" spans="1:8" ht="13.5">
      <c r="A475" s="4">
        <v>473</v>
      </c>
      <c r="B475" s="6" t="s">
        <v>108</v>
      </c>
      <c r="C475" s="6" t="str">
        <f>"2020031719"</f>
        <v>2020031719</v>
      </c>
      <c r="D475" s="1">
        <v>67.2</v>
      </c>
      <c r="E475" s="2">
        <v>60</v>
      </c>
      <c r="F475" s="3">
        <f t="shared" si="51"/>
        <v>127.2</v>
      </c>
      <c r="G475" s="1">
        <v>70</v>
      </c>
      <c r="H475" s="16">
        <f t="shared" si="50"/>
        <v>66.16</v>
      </c>
    </row>
    <row r="476" spans="1:8" ht="13.5">
      <c r="A476" s="4">
        <v>474</v>
      </c>
      <c r="B476" s="6" t="s">
        <v>10</v>
      </c>
      <c r="C476" s="6" t="str">
        <f>"2020041211"</f>
        <v>2020041211</v>
      </c>
      <c r="D476" s="1">
        <v>79.5</v>
      </c>
      <c r="E476" s="2">
        <v>84.5</v>
      </c>
      <c r="F476" s="3">
        <f t="shared" si="51"/>
        <v>164</v>
      </c>
      <c r="G476" s="1">
        <v>75.8</v>
      </c>
      <c r="H476" s="16">
        <f t="shared" si="50"/>
        <v>79.52</v>
      </c>
    </row>
    <row r="477" spans="1:8" ht="13.5">
      <c r="A477" s="4">
        <v>475</v>
      </c>
      <c r="B477" s="6" t="s">
        <v>10</v>
      </c>
      <c r="C477" s="6" t="str">
        <f>"2020010427"</f>
        <v>2020010427</v>
      </c>
      <c r="D477" s="1">
        <v>74.9</v>
      </c>
      <c r="E477" s="2">
        <v>87</v>
      </c>
      <c r="F477" s="3">
        <f t="shared" si="51"/>
        <v>161.9</v>
      </c>
      <c r="G477" s="1">
        <v>75.5</v>
      </c>
      <c r="H477" s="16">
        <f t="shared" si="50"/>
        <v>78.77000000000001</v>
      </c>
    </row>
    <row r="478" spans="1:8" ht="13.5">
      <c r="A478" s="4">
        <v>476</v>
      </c>
      <c r="B478" s="6" t="s">
        <v>10</v>
      </c>
      <c r="C478" s="6" t="str">
        <f>"2020042918"</f>
        <v>2020042918</v>
      </c>
      <c r="D478" s="1">
        <v>80.7</v>
      </c>
      <c r="E478" s="2">
        <v>80.5</v>
      </c>
      <c r="F478" s="3">
        <f t="shared" si="51"/>
        <v>161.2</v>
      </c>
      <c r="G478" s="1">
        <v>74.4</v>
      </c>
      <c r="H478" s="16">
        <f t="shared" si="50"/>
        <v>78.12</v>
      </c>
    </row>
    <row r="479" spans="1:8" ht="13.5">
      <c r="A479" s="4">
        <v>477</v>
      </c>
      <c r="B479" s="6" t="s">
        <v>144</v>
      </c>
      <c r="C479" s="6" t="str">
        <f>"2020044025"</f>
        <v>2020044025</v>
      </c>
      <c r="D479" s="1">
        <v>76.6</v>
      </c>
      <c r="E479" s="2">
        <v>83.5</v>
      </c>
      <c r="F479" s="3">
        <f t="shared" si="51"/>
        <v>160.1</v>
      </c>
      <c r="G479" s="1">
        <v>76.2</v>
      </c>
      <c r="H479" s="16">
        <f t="shared" si="50"/>
        <v>78.50999999999999</v>
      </c>
    </row>
    <row r="480" spans="1:8" ht="13.5">
      <c r="A480" s="4">
        <v>478</v>
      </c>
      <c r="B480" s="6" t="s">
        <v>86</v>
      </c>
      <c r="C480" s="6" t="str">
        <f>"2020010924"</f>
        <v>2020010924</v>
      </c>
      <c r="D480" s="1">
        <v>73.2</v>
      </c>
      <c r="E480" s="2">
        <v>70</v>
      </c>
      <c r="F480" s="3">
        <f t="shared" si="51"/>
        <v>143.2</v>
      </c>
      <c r="G480" s="1">
        <v>75.6</v>
      </c>
      <c r="H480" s="16">
        <f t="shared" si="50"/>
        <v>73.19999999999999</v>
      </c>
    </row>
    <row r="481" spans="1:8" ht="13.5">
      <c r="A481" s="4">
        <v>479</v>
      </c>
      <c r="B481" s="6" t="s">
        <v>86</v>
      </c>
      <c r="C481" s="6" t="str">
        <f>"2020043602"</f>
        <v>2020043602</v>
      </c>
      <c r="D481" s="1">
        <v>74.4</v>
      </c>
      <c r="E481" s="2">
        <v>71</v>
      </c>
      <c r="F481" s="3">
        <f t="shared" si="51"/>
        <v>145.4</v>
      </c>
      <c r="G481" s="1">
        <v>71.4</v>
      </c>
      <c r="H481" s="16">
        <f t="shared" si="50"/>
        <v>72.18</v>
      </c>
    </row>
    <row r="482" spans="1:8" ht="13.5">
      <c r="A482" s="4">
        <v>480</v>
      </c>
      <c r="B482" s="6" t="s">
        <v>86</v>
      </c>
      <c r="C482" s="6" t="str">
        <f>"2020012412"</f>
        <v>2020012412</v>
      </c>
      <c r="D482" s="1">
        <v>62</v>
      </c>
      <c r="E482" s="2">
        <v>73</v>
      </c>
      <c r="F482" s="3">
        <f t="shared" si="51"/>
        <v>135</v>
      </c>
      <c r="G482" s="1">
        <v>76.8</v>
      </c>
      <c r="H482" s="16">
        <f t="shared" si="50"/>
        <v>71.22</v>
      </c>
    </row>
    <row r="483" spans="1:8" ht="13.5">
      <c r="A483" s="4">
        <v>481</v>
      </c>
      <c r="B483" s="6" t="s">
        <v>86</v>
      </c>
      <c r="C483" s="6" t="str">
        <f>"2020040622"</f>
        <v>2020040622</v>
      </c>
      <c r="D483" s="1">
        <v>68.9</v>
      </c>
      <c r="E483" s="2">
        <v>64.5</v>
      </c>
      <c r="F483" s="3">
        <f t="shared" si="51"/>
        <v>133.4</v>
      </c>
      <c r="G483" s="1">
        <v>75.2</v>
      </c>
      <c r="H483" s="16">
        <f t="shared" si="50"/>
        <v>70.10000000000001</v>
      </c>
    </row>
    <row r="484" spans="1:8" ht="13.5">
      <c r="A484" s="4">
        <v>482</v>
      </c>
      <c r="B484" s="6" t="s">
        <v>86</v>
      </c>
      <c r="C484" s="6" t="str">
        <f>"2020010912"</f>
        <v>2020010912</v>
      </c>
      <c r="D484" s="1">
        <v>65.7</v>
      </c>
      <c r="E484" s="2">
        <v>65</v>
      </c>
      <c r="F484" s="3">
        <f t="shared" si="51"/>
        <v>130.7</v>
      </c>
      <c r="G484" s="1">
        <v>71.8</v>
      </c>
      <c r="H484" s="16">
        <f t="shared" si="50"/>
        <v>67.92999999999999</v>
      </c>
    </row>
    <row r="485" spans="1:8" ht="13.5">
      <c r="A485" s="4">
        <v>483</v>
      </c>
      <c r="B485" s="6" t="s">
        <v>86</v>
      </c>
      <c r="C485" s="6" t="str">
        <f>"2020046125"</f>
        <v>2020046125</v>
      </c>
      <c r="D485" s="1">
        <v>62</v>
      </c>
      <c r="E485" s="2">
        <v>54</v>
      </c>
      <c r="F485" s="3">
        <f t="shared" si="51"/>
        <v>116</v>
      </c>
      <c r="G485" s="1">
        <v>77.2</v>
      </c>
      <c r="H485" s="16">
        <f t="shared" si="50"/>
        <v>65.68</v>
      </c>
    </row>
    <row r="486" spans="1:8" ht="13.5">
      <c r="A486" s="4">
        <v>484</v>
      </c>
      <c r="B486" s="6" t="s">
        <v>63</v>
      </c>
      <c r="C486" s="6" t="str">
        <f>"2020023311"</f>
        <v>2020023311</v>
      </c>
      <c r="D486" s="1">
        <v>73.5</v>
      </c>
      <c r="E486" s="2">
        <v>83.5</v>
      </c>
      <c r="F486" s="3">
        <f t="shared" si="51"/>
        <v>157</v>
      </c>
      <c r="G486" s="1">
        <v>77.2</v>
      </c>
      <c r="H486" s="16">
        <f t="shared" si="50"/>
        <v>77.98</v>
      </c>
    </row>
    <row r="487" spans="1:8" ht="13.5">
      <c r="A487" s="4">
        <v>485</v>
      </c>
      <c r="B487" s="6" t="s">
        <v>63</v>
      </c>
      <c r="C487" s="6" t="s">
        <v>219</v>
      </c>
      <c r="D487" s="1">
        <v>75.5</v>
      </c>
      <c r="E487" s="2">
        <v>71</v>
      </c>
      <c r="F487" s="7">
        <v>146.5</v>
      </c>
      <c r="G487" s="1">
        <v>74.3</v>
      </c>
      <c r="H487" s="16">
        <f t="shared" si="50"/>
        <v>73.66999999999999</v>
      </c>
    </row>
    <row r="488" spans="1:8" ht="13.5">
      <c r="A488" s="4">
        <v>486</v>
      </c>
      <c r="B488" s="6" t="s">
        <v>143</v>
      </c>
      <c r="C488" s="6" t="str">
        <f>"2020042829"</f>
        <v>2020042829</v>
      </c>
      <c r="D488" s="1">
        <v>73.6</v>
      </c>
      <c r="E488" s="2">
        <v>78.5</v>
      </c>
      <c r="F488" s="3">
        <f aca="true" t="shared" si="52" ref="F488:F498">D488+E488</f>
        <v>152.1</v>
      </c>
      <c r="G488" s="1">
        <v>77.4</v>
      </c>
      <c r="H488" s="16">
        <f t="shared" si="50"/>
        <v>76.59</v>
      </c>
    </row>
    <row r="489" spans="1:8" ht="13.5">
      <c r="A489" s="4">
        <v>487</v>
      </c>
      <c r="B489" s="6" t="s">
        <v>143</v>
      </c>
      <c r="C489" s="6" t="str">
        <f>"2020046919"</f>
        <v>2020046919</v>
      </c>
      <c r="D489" s="1">
        <v>69.9</v>
      </c>
      <c r="E489" s="2">
        <v>79</v>
      </c>
      <c r="F489" s="3">
        <f t="shared" si="52"/>
        <v>148.9</v>
      </c>
      <c r="G489" s="1">
        <v>76.2</v>
      </c>
      <c r="H489" s="16">
        <f t="shared" si="50"/>
        <v>75.15</v>
      </c>
    </row>
    <row r="490" spans="1:8" ht="13.5">
      <c r="A490" s="4">
        <v>488</v>
      </c>
      <c r="B490" s="6" t="s">
        <v>143</v>
      </c>
      <c r="C490" s="6" t="str">
        <f>"2020042013"</f>
        <v>2020042013</v>
      </c>
      <c r="D490" s="1">
        <v>69.6</v>
      </c>
      <c r="E490" s="2">
        <v>74.5</v>
      </c>
      <c r="F490" s="3">
        <f t="shared" si="52"/>
        <v>144.1</v>
      </c>
      <c r="G490" s="1">
        <v>73.8</v>
      </c>
      <c r="H490" s="16">
        <f t="shared" si="50"/>
        <v>72.75</v>
      </c>
    </row>
    <row r="491" spans="1:8" ht="13.5">
      <c r="A491" s="4">
        <v>489</v>
      </c>
      <c r="B491" s="6" t="s">
        <v>54</v>
      </c>
      <c r="C491" s="6" t="str">
        <f>"2020040207"</f>
        <v>2020040207</v>
      </c>
      <c r="D491" s="1">
        <v>70.9</v>
      </c>
      <c r="E491" s="2">
        <v>78</v>
      </c>
      <c r="F491" s="3">
        <f t="shared" si="52"/>
        <v>148.9</v>
      </c>
      <c r="G491" s="1">
        <v>73.6</v>
      </c>
      <c r="H491" s="16">
        <f t="shared" si="50"/>
        <v>74.11</v>
      </c>
    </row>
    <row r="492" spans="1:8" ht="13.5">
      <c r="A492" s="4">
        <v>490</v>
      </c>
      <c r="B492" s="6" t="s">
        <v>54</v>
      </c>
      <c r="C492" s="6" t="str">
        <f>"2020047114"</f>
        <v>2020047114</v>
      </c>
      <c r="D492" s="1">
        <v>67</v>
      </c>
      <c r="E492" s="2">
        <v>81</v>
      </c>
      <c r="F492" s="3">
        <f t="shared" si="52"/>
        <v>148</v>
      </c>
      <c r="G492" s="1">
        <v>71.4</v>
      </c>
      <c r="H492" s="16">
        <f t="shared" si="50"/>
        <v>72.96000000000001</v>
      </c>
    </row>
    <row r="493" spans="1:8" ht="15.75">
      <c r="A493" s="4">
        <v>491</v>
      </c>
      <c r="B493" s="6" t="s">
        <v>54</v>
      </c>
      <c r="C493" s="6" t="str">
        <f>"2020040905"</f>
        <v>2020040905</v>
      </c>
      <c r="D493" s="1">
        <v>65.7</v>
      </c>
      <c r="E493" s="2">
        <v>63.5</v>
      </c>
      <c r="F493" s="3">
        <f t="shared" si="52"/>
        <v>129.2</v>
      </c>
      <c r="G493" s="8" t="s">
        <v>232</v>
      </c>
      <c r="H493" s="16">
        <f>F493/2*0.6</f>
        <v>38.76</v>
      </c>
    </row>
    <row r="494" spans="1:8" ht="13.5">
      <c r="A494" s="4">
        <v>492</v>
      </c>
      <c r="B494" s="6" t="s">
        <v>77</v>
      </c>
      <c r="C494" s="6" t="str">
        <f>"2020013820"</f>
        <v>2020013820</v>
      </c>
      <c r="D494" s="1">
        <v>62.1</v>
      </c>
      <c r="E494" s="2">
        <v>76.5</v>
      </c>
      <c r="F494" s="3">
        <f t="shared" si="52"/>
        <v>138.6</v>
      </c>
      <c r="G494" s="1">
        <v>75.6</v>
      </c>
      <c r="H494" s="16">
        <f aca="true" t="shared" si="53" ref="H494:H503">F494*0.5*0.6+G494*0.4</f>
        <v>71.82</v>
      </c>
    </row>
    <row r="495" spans="1:8" ht="13.5">
      <c r="A495" s="4">
        <v>493</v>
      </c>
      <c r="B495" s="6" t="s">
        <v>77</v>
      </c>
      <c r="C495" s="6" t="str">
        <f>"2020010110"</f>
        <v>2020010110</v>
      </c>
      <c r="D495" s="1">
        <v>67.2</v>
      </c>
      <c r="E495" s="2">
        <v>66</v>
      </c>
      <c r="F495" s="3">
        <f t="shared" si="52"/>
        <v>133.2</v>
      </c>
      <c r="G495" s="9">
        <v>72.2</v>
      </c>
      <c r="H495" s="16">
        <f t="shared" si="53"/>
        <v>68.84</v>
      </c>
    </row>
    <row r="496" spans="1:8" ht="13.5">
      <c r="A496" s="4">
        <v>494</v>
      </c>
      <c r="B496" s="6" t="s">
        <v>77</v>
      </c>
      <c r="C496" s="6" t="str">
        <f>"2020031320"</f>
        <v>2020031320</v>
      </c>
      <c r="D496" s="1">
        <v>68.4</v>
      </c>
      <c r="E496" s="2">
        <v>61</v>
      </c>
      <c r="F496" s="3">
        <f t="shared" si="52"/>
        <v>129.4</v>
      </c>
      <c r="G496" s="1">
        <v>74.3</v>
      </c>
      <c r="H496" s="16">
        <f t="shared" si="53"/>
        <v>68.53999999999999</v>
      </c>
    </row>
    <row r="497" spans="1:8" ht="13.5">
      <c r="A497" s="4">
        <v>495</v>
      </c>
      <c r="B497" s="6" t="s">
        <v>77</v>
      </c>
      <c r="C497" s="6" t="str">
        <f>"2020046605"</f>
        <v>2020046605</v>
      </c>
      <c r="D497" s="1">
        <v>65.3</v>
      </c>
      <c r="E497" s="2">
        <v>62</v>
      </c>
      <c r="F497" s="3">
        <f t="shared" si="52"/>
        <v>127.3</v>
      </c>
      <c r="G497" s="1">
        <v>74.3</v>
      </c>
      <c r="H497" s="16">
        <f t="shared" si="53"/>
        <v>67.91</v>
      </c>
    </row>
    <row r="498" spans="1:8" ht="13.5">
      <c r="A498" s="4">
        <v>496</v>
      </c>
      <c r="B498" s="6" t="s">
        <v>77</v>
      </c>
      <c r="C498" s="6" t="str">
        <f>"2020033326"</f>
        <v>2020033326</v>
      </c>
      <c r="D498" s="1">
        <v>60.8</v>
      </c>
      <c r="E498" s="2">
        <v>63</v>
      </c>
      <c r="F498" s="3">
        <f t="shared" si="52"/>
        <v>123.8</v>
      </c>
      <c r="G498" s="1">
        <v>76</v>
      </c>
      <c r="H498" s="16">
        <f t="shared" si="53"/>
        <v>67.54</v>
      </c>
    </row>
    <row r="499" spans="1:8" ht="13.5">
      <c r="A499" s="4">
        <v>497</v>
      </c>
      <c r="B499" s="6" t="s">
        <v>77</v>
      </c>
      <c r="C499" s="6" t="s">
        <v>220</v>
      </c>
      <c r="D499" s="1">
        <v>68.4</v>
      </c>
      <c r="E499" s="2">
        <v>54</v>
      </c>
      <c r="F499" s="7">
        <v>122.4</v>
      </c>
      <c r="G499" s="1">
        <v>75.7</v>
      </c>
      <c r="H499" s="16">
        <f t="shared" si="53"/>
        <v>67</v>
      </c>
    </row>
    <row r="500" spans="1:8" ht="13.5">
      <c r="A500" s="4">
        <v>498</v>
      </c>
      <c r="B500" s="6" t="s">
        <v>77</v>
      </c>
      <c r="C500" s="6" t="str">
        <f>"2020022914"</f>
        <v>2020022914</v>
      </c>
      <c r="D500" s="1">
        <v>73.5</v>
      </c>
      <c r="E500" s="2">
        <v>49</v>
      </c>
      <c r="F500" s="3">
        <f>D500+E500</f>
        <v>122.5</v>
      </c>
      <c r="G500" s="1">
        <v>74.4</v>
      </c>
      <c r="H500" s="16">
        <f t="shared" si="53"/>
        <v>66.51</v>
      </c>
    </row>
    <row r="501" spans="1:8" ht="13.5">
      <c r="A501" s="4">
        <v>499</v>
      </c>
      <c r="B501" s="6" t="s">
        <v>77</v>
      </c>
      <c r="C501" s="6" t="str">
        <f>"2020047306"</f>
        <v>2020047306</v>
      </c>
      <c r="D501" s="1">
        <v>73.3</v>
      </c>
      <c r="E501" s="2">
        <v>50</v>
      </c>
      <c r="F501" s="3">
        <f>D501+E501</f>
        <v>123.3</v>
      </c>
      <c r="G501" s="1">
        <v>73.6</v>
      </c>
      <c r="H501" s="16">
        <f t="shared" si="53"/>
        <v>66.42999999999999</v>
      </c>
    </row>
    <row r="502" spans="1:8" ht="13.5">
      <c r="A502" s="4">
        <v>500</v>
      </c>
      <c r="B502" s="6" t="s">
        <v>77</v>
      </c>
      <c r="C502" s="6" t="str">
        <f>"2020011518"</f>
        <v>2020011518</v>
      </c>
      <c r="D502" s="1">
        <v>66.6</v>
      </c>
      <c r="E502" s="2">
        <v>57</v>
      </c>
      <c r="F502" s="3">
        <f>D502+E502</f>
        <v>123.6</v>
      </c>
      <c r="G502" s="1">
        <v>69.1</v>
      </c>
      <c r="H502" s="16">
        <f t="shared" si="53"/>
        <v>64.72</v>
      </c>
    </row>
    <row r="503" spans="1:8" ht="13.5">
      <c r="A503" s="4">
        <v>501</v>
      </c>
      <c r="B503" s="6" t="s">
        <v>77</v>
      </c>
      <c r="C503" s="6" t="s">
        <v>221</v>
      </c>
      <c r="D503" s="1">
        <v>66.2</v>
      </c>
      <c r="E503" s="2">
        <v>54.5</v>
      </c>
      <c r="F503" s="7">
        <v>120.7</v>
      </c>
      <c r="G503" s="9">
        <v>70.9</v>
      </c>
      <c r="H503" s="16">
        <f t="shared" si="53"/>
        <v>64.57000000000001</v>
      </c>
    </row>
    <row r="504" spans="1:8" ht="15.75">
      <c r="A504" s="4">
        <v>502</v>
      </c>
      <c r="B504" s="6" t="s">
        <v>77</v>
      </c>
      <c r="C504" s="6" t="str">
        <f>"2020044525"</f>
        <v>2020044525</v>
      </c>
      <c r="D504" s="1">
        <v>60.3</v>
      </c>
      <c r="E504" s="2">
        <v>74.5</v>
      </c>
      <c r="F504" s="3">
        <f aca="true" t="shared" si="54" ref="F504:F515">D504+E504</f>
        <v>134.8</v>
      </c>
      <c r="G504" s="10" t="s">
        <v>232</v>
      </c>
      <c r="H504" s="16">
        <f>F504/2*0.6</f>
        <v>40.440000000000005</v>
      </c>
    </row>
    <row r="505" spans="1:8" ht="15.75">
      <c r="A505" s="4">
        <v>503</v>
      </c>
      <c r="B505" s="6" t="s">
        <v>77</v>
      </c>
      <c r="C505" s="6" t="str">
        <f>"2020040326"</f>
        <v>2020040326</v>
      </c>
      <c r="D505" s="1">
        <v>59</v>
      </c>
      <c r="E505" s="2">
        <v>63.5</v>
      </c>
      <c r="F505" s="3">
        <f t="shared" si="54"/>
        <v>122.5</v>
      </c>
      <c r="G505" s="10" t="s">
        <v>232</v>
      </c>
      <c r="H505" s="16">
        <f>F505/2*0.6</f>
        <v>36.75</v>
      </c>
    </row>
    <row r="506" spans="1:8" ht="13.5">
      <c r="A506" s="4">
        <v>504</v>
      </c>
      <c r="B506" s="6" t="s">
        <v>85</v>
      </c>
      <c r="C506" s="6" t="str">
        <f>"2020021123"</f>
        <v>2020021123</v>
      </c>
      <c r="D506" s="1">
        <v>68.5</v>
      </c>
      <c r="E506" s="2">
        <v>75</v>
      </c>
      <c r="F506" s="3">
        <f t="shared" si="54"/>
        <v>143.5</v>
      </c>
      <c r="G506" s="1">
        <v>72.8</v>
      </c>
      <c r="H506" s="16">
        <f aca="true" t="shared" si="55" ref="H506:H552">F506*0.5*0.6+G506*0.4</f>
        <v>72.17</v>
      </c>
    </row>
    <row r="507" spans="1:8" ht="13.5">
      <c r="A507" s="4">
        <v>505</v>
      </c>
      <c r="B507" s="6" t="s">
        <v>85</v>
      </c>
      <c r="C507" s="6" t="str">
        <f>"2020044010"</f>
        <v>2020044010</v>
      </c>
      <c r="D507" s="1">
        <v>68.9</v>
      </c>
      <c r="E507" s="2">
        <v>68.5</v>
      </c>
      <c r="F507" s="3">
        <f t="shared" si="54"/>
        <v>137.4</v>
      </c>
      <c r="G507" s="1">
        <v>73</v>
      </c>
      <c r="H507" s="16">
        <f t="shared" si="55"/>
        <v>70.42</v>
      </c>
    </row>
    <row r="508" spans="1:8" ht="13.5">
      <c r="A508" s="4">
        <v>506</v>
      </c>
      <c r="B508" s="6" t="s">
        <v>85</v>
      </c>
      <c r="C508" s="6" t="str">
        <f>"2020023902"</f>
        <v>2020023902</v>
      </c>
      <c r="D508" s="1">
        <v>64.4</v>
      </c>
      <c r="E508" s="2">
        <v>69</v>
      </c>
      <c r="F508" s="3">
        <f t="shared" si="54"/>
        <v>133.4</v>
      </c>
      <c r="G508" s="1">
        <v>73</v>
      </c>
      <c r="H508" s="16">
        <f t="shared" si="55"/>
        <v>69.22</v>
      </c>
    </row>
    <row r="509" spans="1:8" ht="13.5">
      <c r="A509" s="4">
        <v>507</v>
      </c>
      <c r="B509" s="6" t="s">
        <v>41</v>
      </c>
      <c r="C509" s="6" t="str">
        <f>"2020012626"</f>
        <v>2020012626</v>
      </c>
      <c r="D509" s="1">
        <v>65</v>
      </c>
      <c r="E509" s="2">
        <v>89.5</v>
      </c>
      <c r="F509" s="3">
        <f t="shared" si="54"/>
        <v>154.5</v>
      </c>
      <c r="G509" s="1">
        <v>74.9</v>
      </c>
      <c r="H509" s="16">
        <f t="shared" si="55"/>
        <v>76.31</v>
      </c>
    </row>
    <row r="510" spans="1:8" ht="13.5">
      <c r="A510" s="4">
        <v>508</v>
      </c>
      <c r="B510" s="6" t="s">
        <v>41</v>
      </c>
      <c r="C510" s="6" t="str">
        <f>"2020033324"</f>
        <v>2020033324</v>
      </c>
      <c r="D510" s="1">
        <v>69.4</v>
      </c>
      <c r="E510" s="2">
        <v>78</v>
      </c>
      <c r="F510" s="3">
        <f t="shared" si="54"/>
        <v>147.4</v>
      </c>
      <c r="G510" s="1">
        <v>77.5</v>
      </c>
      <c r="H510" s="16">
        <f t="shared" si="55"/>
        <v>75.22</v>
      </c>
    </row>
    <row r="511" spans="1:8" ht="13.5">
      <c r="A511" s="4">
        <v>509</v>
      </c>
      <c r="B511" s="6" t="s">
        <v>121</v>
      </c>
      <c r="C511" s="6" t="str">
        <f>"2020022509"</f>
        <v>2020022509</v>
      </c>
      <c r="D511" s="1">
        <v>70.7</v>
      </c>
      <c r="E511" s="2">
        <v>66.5</v>
      </c>
      <c r="F511" s="3">
        <f t="shared" si="54"/>
        <v>137.2</v>
      </c>
      <c r="G511" s="1">
        <v>73.6</v>
      </c>
      <c r="H511" s="16">
        <f t="shared" si="55"/>
        <v>70.6</v>
      </c>
    </row>
    <row r="512" spans="1:8" ht="13.5">
      <c r="A512" s="4">
        <v>510</v>
      </c>
      <c r="B512" s="6" t="s">
        <v>121</v>
      </c>
      <c r="C512" s="6" t="str">
        <f>"2020033717"</f>
        <v>2020033717</v>
      </c>
      <c r="D512" s="1">
        <v>62.4</v>
      </c>
      <c r="E512" s="2">
        <v>72</v>
      </c>
      <c r="F512" s="3">
        <f t="shared" si="54"/>
        <v>134.4</v>
      </c>
      <c r="G512" s="1">
        <v>72.1</v>
      </c>
      <c r="H512" s="16">
        <f t="shared" si="55"/>
        <v>69.16</v>
      </c>
    </row>
    <row r="513" spans="1:8" ht="13.5">
      <c r="A513" s="4">
        <v>511</v>
      </c>
      <c r="B513" s="6" t="s">
        <v>121</v>
      </c>
      <c r="C513" s="6" t="str">
        <f>"2020024709"</f>
        <v>2020024709</v>
      </c>
      <c r="D513" s="1">
        <v>66.9</v>
      </c>
      <c r="E513" s="2">
        <v>65.5</v>
      </c>
      <c r="F513" s="3">
        <f t="shared" si="54"/>
        <v>132.4</v>
      </c>
      <c r="G513" s="1">
        <v>71.4</v>
      </c>
      <c r="H513" s="16">
        <f t="shared" si="55"/>
        <v>68.28</v>
      </c>
    </row>
    <row r="514" spans="1:8" ht="13.5">
      <c r="A514" s="4">
        <v>512</v>
      </c>
      <c r="B514" s="6" t="s">
        <v>121</v>
      </c>
      <c r="C514" s="6" t="str">
        <f>"2020041519"</f>
        <v>2020041519</v>
      </c>
      <c r="D514" s="1">
        <v>64.9</v>
      </c>
      <c r="E514" s="2">
        <v>62.5</v>
      </c>
      <c r="F514" s="3">
        <f t="shared" si="54"/>
        <v>127.4</v>
      </c>
      <c r="G514" s="1">
        <v>73.1</v>
      </c>
      <c r="H514" s="16">
        <f t="shared" si="55"/>
        <v>67.46</v>
      </c>
    </row>
    <row r="515" spans="1:8" ht="13.5">
      <c r="A515" s="4">
        <v>513</v>
      </c>
      <c r="B515" s="6" t="s">
        <v>121</v>
      </c>
      <c r="C515" s="6" t="str">
        <f>"2020031901"</f>
        <v>2020031901</v>
      </c>
      <c r="D515" s="1">
        <v>61.9</v>
      </c>
      <c r="E515" s="2">
        <v>59.5</v>
      </c>
      <c r="F515" s="3">
        <f t="shared" si="54"/>
        <v>121.4</v>
      </c>
      <c r="G515" s="1">
        <v>72.7</v>
      </c>
      <c r="H515" s="16">
        <f t="shared" si="55"/>
        <v>65.5</v>
      </c>
    </row>
    <row r="516" spans="1:8" ht="13.5">
      <c r="A516" s="4">
        <v>514</v>
      </c>
      <c r="B516" s="6" t="s">
        <v>121</v>
      </c>
      <c r="C516" s="6" t="s">
        <v>222</v>
      </c>
      <c r="D516" s="1">
        <v>60.9</v>
      </c>
      <c r="E516" s="2">
        <v>57</v>
      </c>
      <c r="F516" s="7">
        <v>117.9</v>
      </c>
      <c r="G516" s="1">
        <v>70.3</v>
      </c>
      <c r="H516" s="16">
        <f t="shared" si="55"/>
        <v>63.489999999999995</v>
      </c>
    </row>
    <row r="517" spans="1:8" ht="13.5">
      <c r="A517" s="4">
        <v>515</v>
      </c>
      <c r="B517" s="6" t="s">
        <v>9</v>
      </c>
      <c r="C517" s="6" t="str">
        <f>"2020022818"</f>
        <v>2020022818</v>
      </c>
      <c r="D517" s="1">
        <v>76.8</v>
      </c>
      <c r="E517" s="2">
        <v>79</v>
      </c>
      <c r="F517" s="3">
        <f>D517+E517</f>
        <v>155.8</v>
      </c>
      <c r="G517" s="1">
        <v>75.2</v>
      </c>
      <c r="H517" s="16">
        <f t="shared" si="55"/>
        <v>76.82000000000001</v>
      </c>
    </row>
    <row r="518" spans="1:8" ht="13.5">
      <c r="A518" s="4">
        <v>516</v>
      </c>
      <c r="B518" s="6" t="s">
        <v>9</v>
      </c>
      <c r="C518" s="6" t="str">
        <f>"2020047423"</f>
        <v>2020047423</v>
      </c>
      <c r="D518" s="1">
        <v>73.8</v>
      </c>
      <c r="E518" s="2">
        <v>75.5</v>
      </c>
      <c r="F518" s="3">
        <f>D518+E518</f>
        <v>149.3</v>
      </c>
      <c r="G518" s="1">
        <v>77.2</v>
      </c>
      <c r="H518" s="16">
        <f t="shared" si="55"/>
        <v>75.67</v>
      </c>
    </row>
    <row r="519" spans="1:8" ht="13.5">
      <c r="A519" s="4">
        <v>517</v>
      </c>
      <c r="B519" s="6" t="s">
        <v>9</v>
      </c>
      <c r="C519" s="6" t="str">
        <f>"2020011206"</f>
        <v>2020011206</v>
      </c>
      <c r="D519" s="1">
        <v>78.5</v>
      </c>
      <c r="E519" s="2">
        <v>70</v>
      </c>
      <c r="F519" s="3">
        <f>D519+E519</f>
        <v>148.5</v>
      </c>
      <c r="G519" s="1">
        <v>75.4</v>
      </c>
      <c r="H519" s="16">
        <f t="shared" si="55"/>
        <v>74.71000000000001</v>
      </c>
    </row>
    <row r="520" spans="1:8" ht="13.5">
      <c r="A520" s="4">
        <v>518</v>
      </c>
      <c r="B520" s="6" t="s">
        <v>9</v>
      </c>
      <c r="C520" s="6" t="s">
        <v>223</v>
      </c>
      <c r="D520" s="1">
        <v>68.4</v>
      </c>
      <c r="E520" s="2">
        <v>77.5</v>
      </c>
      <c r="F520" s="7">
        <v>145.9</v>
      </c>
      <c r="G520" s="1">
        <v>76</v>
      </c>
      <c r="H520" s="16">
        <f t="shared" si="55"/>
        <v>74.17</v>
      </c>
    </row>
    <row r="521" spans="1:8" ht="13.5">
      <c r="A521" s="4">
        <v>519</v>
      </c>
      <c r="B521" s="6" t="s">
        <v>9</v>
      </c>
      <c r="C521" s="6" t="s">
        <v>225</v>
      </c>
      <c r="D521" s="1">
        <v>71.3</v>
      </c>
      <c r="E521" s="2">
        <v>73.5</v>
      </c>
      <c r="F521" s="7">
        <v>144.8</v>
      </c>
      <c r="G521" s="1">
        <v>75.3</v>
      </c>
      <c r="H521" s="16">
        <f>F521*0.5*0.6+G521*0.4</f>
        <v>73.56</v>
      </c>
    </row>
    <row r="522" spans="1:11" ht="13.5">
      <c r="A522" s="4">
        <v>520</v>
      </c>
      <c r="B522" s="6" t="s">
        <v>9</v>
      </c>
      <c r="C522" s="6" t="s">
        <v>224</v>
      </c>
      <c r="D522" s="1">
        <v>78.9</v>
      </c>
      <c r="E522" s="2">
        <v>66.5</v>
      </c>
      <c r="F522" s="7">
        <v>145.4</v>
      </c>
      <c r="G522" s="1">
        <v>73.7</v>
      </c>
      <c r="H522" s="16">
        <f t="shared" si="55"/>
        <v>73.1</v>
      </c>
      <c r="I522" s="29"/>
      <c r="J522" s="27"/>
      <c r="K522" s="28"/>
    </row>
    <row r="523" spans="1:8" ht="13.5">
      <c r="A523" s="4">
        <v>521</v>
      </c>
      <c r="B523" s="6" t="s">
        <v>131</v>
      </c>
      <c r="C523" s="6" t="str">
        <f>"2020045708"</f>
        <v>2020045708</v>
      </c>
      <c r="D523" s="1">
        <v>68.5</v>
      </c>
      <c r="E523" s="2">
        <v>79</v>
      </c>
      <c r="F523" s="3">
        <f aca="true" t="shared" si="56" ref="F523:F534">D523+E523</f>
        <v>147.5</v>
      </c>
      <c r="G523" s="1">
        <v>77.8</v>
      </c>
      <c r="H523" s="16">
        <f t="shared" si="55"/>
        <v>75.37</v>
      </c>
    </row>
    <row r="524" spans="1:8" ht="13.5">
      <c r="A524" s="4">
        <v>522</v>
      </c>
      <c r="B524" s="6" t="s">
        <v>131</v>
      </c>
      <c r="C524" s="6" t="str">
        <f>"2020034013"</f>
        <v>2020034013</v>
      </c>
      <c r="D524" s="1">
        <v>76.1</v>
      </c>
      <c r="E524" s="2">
        <v>75.5</v>
      </c>
      <c r="F524" s="3">
        <f t="shared" si="56"/>
        <v>151.6</v>
      </c>
      <c r="G524" s="1">
        <v>73.2</v>
      </c>
      <c r="H524" s="16">
        <f t="shared" si="55"/>
        <v>74.75999999999999</v>
      </c>
    </row>
    <row r="525" spans="1:8" ht="13.5">
      <c r="A525" s="4">
        <v>523</v>
      </c>
      <c r="B525" s="6" t="s">
        <v>131</v>
      </c>
      <c r="C525" s="6" t="str">
        <f>"2020043319"</f>
        <v>2020043319</v>
      </c>
      <c r="D525" s="1">
        <v>72.3</v>
      </c>
      <c r="E525" s="2">
        <v>74</v>
      </c>
      <c r="F525" s="3">
        <f t="shared" si="56"/>
        <v>146.3</v>
      </c>
      <c r="G525" s="1">
        <v>77.1</v>
      </c>
      <c r="H525" s="16">
        <f t="shared" si="55"/>
        <v>74.73</v>
      </c>
    </row>
    <row r="526" spans="1:8" ht="13.5">
      <c r="A526" s="4">
        <v>524</v>
      </c>
      <c r="B526" s="6" t="s">
        <v>19</v>
      </c>
      <c r="C526" s="6" t="str">
        <f>"2020012112"</f>
        <v>2020012112</v>
      </c>
      <c r="D526" s="1">
        <v>74.7</v>
      </c>
      <c r="E526" s="2">
        <v>74</v>
      </c>
      <c r="F526" s="3">
        <f t="shared" si="56"/>
        <v>148.7</v>
      </c>
      <c r="G526" s="1">
        <v>76.6</v>
      </c>
      <c r="H526" s="16">
        <f t="shared" si="55"/>
        <v>75.25</v>
      </c>
    </row>
    <row r="527" spans="1:8" ht="13.5">
      <c r="A527" s="4">
        <v>525</v>
      </c>
      <c r="B527" s="6" t="s">
        <v>19</v>
      </c>
      <c r="C527" s="6" t="str">
        <f>"2020023314"</f>
        <v>2020023314</v>
      </c>
      <c r="D527" s="1">
        <v>75.9</v>
      </c>
      <c r="E527" s="2">
        <v>74.5</v>
      </c>
      <c r="F527" s="3">
        <f t="shared" si="56"/>
        <v>150.4</v>
      </c>
      <c r="G527" s="1">
        <v>73.6</v>
      </c>
      <c r="H527" s="16">
        <f t="shared" si="55"/>
        <v>74.56</v>
      </c>
    </row>
    <row r="528" spans="1:8" ht="13.5">
      <c r="A528" s="4">
        <v>526</v>
      </c>
      <c r="B528" s="6" t="s">
        <v>12</v>
      </c>
      <c r="C528" s="6" t="str">
        <f>"2020033914"</f>
        <v>2020033914</v>
      </c>
      <c r="D528" s="1">
        <v>71.7</v>
      </c>
      <c r="E528" s="2">
        <v>81</v>
      </c>
      <c r="F528" s="3">
        <f t="shared" si="56"/>
        <v>152.7</v>
      </c>
      <c r="G528" s="1">
        <v>78.6</v>
      </c>
      <c r="H528" s="16">
        <f t="shared" si="55"/>
        <v>77.25</v>
      </c>
    </row>
    <row r="529" spans="1:8" ht="13.5">
      <c r="A529" s="4">
        <v>527</v>
      </c>
      <c r="B529" s="6" t="s">
        <v>12</v>
      </c>
      <c r="C529" s="6" t="str">
        <f>"2020010221"</f>
        <v>2020010221</v>
      </c>
      <c r="D529" s="1">
        <v>70.2</v>
      </c>
      <c r="E529" s="2">
        <v>83.5</v>
      </c>
      <c r="F529" s="3">
        <f t="shared" si="56"/>
        <v>153.7</v>
      </c>
      <c r="G529" s="1">
        <v>75.2</v>
      </c>
      <c r="H529" s="16">
        <f t="shared" si="55"/>
        <v>76.19</v>
      </c>
    </row>
    <row r="530" spans="1:8" ht="13.5">
      <c r="A530" s="4">
        <v>528</v>
      </c>
      <c r="B530" s="6" t="s">
        <v>12</v>
      </c>
      <c r="C530" s="6" t="str">
        <f>"2020021706"</f>
        <v>2020021706</v>
      </c>
      <c r="D530" s="1">
        <v>67.3</v>
      </c>
      <c r="E530" s="2">
        <v>84.5</v>
      </c>
      <c r="F530" s="3">
        <f t="shared" si="56"/>
        <v>151.8</v>
      </c>
      <c r="G530" s="1">
        <v>74.8</v>
      </c>
      <c r="H530" s="16">
        <f t="shared" si="55"/>
        <v>75.46000000000001</v>
      </c>
    </row>
    <row r="531" spans="1:8" ht="13.5">
      <c r="A531" s="4">
        <v>529</v>
      </c>
      <c r="B531" s="6" t="s">
        <v>59</v>
      </c>
      <c r="C531" s="6" t="str">
        <f>"2020042203"</f>
        <v>2020042203</v>
      </c>
      <c r="D531" s="1">
        <v>67.1</v>
      </c>
      <c r="E531" s="2">
        <v>77</v>
      </c>
      <c r="F531" s="3">
        <f t="shared" si="56"/>
        <v>144.1</v>
      </c>
      <c r="G531" s="1">
        <v>73.9</v>
      </c>
      <c r="H531" s="16">
        <f t="shared" si="55"/>
        <v>72.78999999999999</v>
      </c>
    </row>
    <row r="532" spans="1:8" ht="13.5">
      <c r="A532" s="4">
        <v>530</v>
      </c>
      <c r="B532" s="6" t="s">
        <v>59</v>
      </c>
      <c r="C532" s="6" t="str">
        <f>"2020046126"</f>
        <v>2020046126</v>
      </c>
      <c r="D532" s="1">
        <v>65.7</v>
      </c>
      <c r="E532" s="2">
        <v>76.5</v>
      </c>
      <c r="F532" s="3">
        <f t="shared" si="56"/>
        <v>142.2</v>
      </c>
      <c r="G532" s="1">
        <v>73.8</v>
      </c>
      <c r="H532" s="16">
        <f t="shared" si="55"/>
        <v>72.17999999999999</v>
      </c>
    </row>
    <row r="533" spans="1:8" ht="13.5">
      <c r="A533" s="4">
        <v>531</v>
      </c>
      <c r="B533" s="6" t="s">
        <v>59</v>
      </c>
      <c r="C533" s="6" t="str">
        <f>"2020040213"</f>
        <v>2020040213</v>
      </c>
      <c r="D533" s="1">
        <v>72.5</v>
      </c>
      <c r="E533" s="2">
        <v>67</v>
      </c>
      <c r="F533" s="3">
        <f t="shared" si="56"/>
        <v>139.5</v>
      </c>
      <c r="G533" s="1">
        <v>74</v>
      </c>
      <c r="H533" s="16">
        <f t="shared" si="55"/>
        <v>71.45</v>
      </c>
    </row>
    <row r="534" spans="1:8" ht="13.5">
      <c r="A534" s="4">
        <v>532</v>
      </c>
      <c r="B534" s="6" t="s">
        <v>59</v>
      </c>
      <c r="C534" s="6" t="str">
        <f>"2020011120"</f>
        <v>2020011120</v>
      </c>
      <c r="D534" s="1">
        <v>71.3</v>
      </c>
      <c r="E534" s="2">
        <v>67.5</v>
      </c>
      <c r="F534" s="3">
        <f t="shared" si="56"/>
        <v>138.8</v>
      </c>
      <c r="G534" s="1">
        <v>72.2</v>
      </c>
      <c r="H534" s="16">
        <f t="shared" si="55"/>
        <v>70.52000000000001</v>
      </c>
    </row>
    <row r="535" spans="1:8" ht="13.5">
      <c r="A535" s="4">
        <v>533</v>
      </c>
      <c r="B535" s="6" t="s">
        <v>59</v>
      </c>
      <c r="C535" s="6" t="s">
        <v>227</v>
      </c>
      <c r="D535" s="1">
        <v>61.3</v>
      </c>
      <c r="E535" s="2">
        <v>66</v>
      </c>
      <c r="F535" s="7">
        <v>127.3</v>
      </c>
      <c r="G535" s="1">
        <v>75.8</v>
      </c>
      <c r="H535" s="16">
        <f t="shared" si="55"/>
        <v>68.50999999999999</v>
      </c>
    </row>
    <row r="536" spans="1:8" ht="13.5">
      <c r="A536" s="4">
        <v>534</v>
      </c>
      <c r="B536" s="6" t="s">
        <v>59</v>
      </c>
      <c r="C536" s="6" t="s">
        <v>226</v>
      </c>
      <c r="D536" s="1">
        <v>63.3</v>
      </c>
      <c r="E536" s="2">
        <v>65</v>
      </c>
      <c r="F536" s="7">
        <v>128.3</v>
      </c>
      <c r="G536" s="1">
        <v>73.4</v>
      </c>
      <c r="H536" s="16">
        <f t="shared" si="55"/>
        <v>67.85000000000001</v>
      </c>
    </row>
    <row r="537" spans="1:8" ht="13.5">
      <c r="A537" s="4">
        <v>535</v>
      </c>
      <c r="B537" s="6" t="s">
        <v>100</v>
      </c>
      <c r="C537" s="6" t="str">
        <f>"2020010119"</f>
        <v>2020010119</v>
      </c>
      <c r="D537" s="1">
        <v>62.6</v>
      </c>
      <c r="E537" s="2">
        <v>82.5</v>
      </c>
      <c r="F537" s="3">
        <f>D537+E537</f>
        <v>145.1</v>
      </c>
      <c r="G537" s="1">
        <v>73.6</v>
      </c>
      <c r="H537" s="16">
        <f t="shared" si="55"/>
        <v>72.97</v>
      </c>
    </row>
    <row r="538" spans="1:8" ht="13.5">
      <c r="A538" s="4">
        <v>536</v>
      </c>
      <c r="B538" s="6" t="s">
        <v>100</v>
      </c>
      <c r="C538" s="6" t="s">
        <v>228</v>
      </c>
      <c r="D538" s="1">
        <v>63</v>
      </c>
      <c r="E538" s="2">
        <v>69</v>
      </c>
      <c r="F538" s="7">
        <v>132</v>
      </c>
      <c r="G538" s="1">
        <v>74.2</v>
      </c>
      <c r="H538" s="16">
        <f t="shared" si="55"/>
        <v>69.28</v>
      </c>
    </row>
    <row r="539" spans="1:8" ht="13.5">
      <c r="A539" s="4">
        <v>537</v>
      </c>
      <c r="B539" s="6" t="s">
        <v>100</v>
      </c>
      <c r="C539" s="6" t="s">
        <v>229</v>
      </c>
      <c r="D539" s="1">
        <v>66.3</v>
      </c>
      <c r="E539" s="2">
        <v>65</v>
      </c>
      <c r="F539" s="7">
        <v>131.3</v>
      </c>
      <c r="G539" s="1">
        <v>69.8</v>
      </c>
      <c r="H539" s="16">
        <f t="shared" si="55"/>
        <v>67.31</v>
      </c>
    </row>
    <row r="540" spans="1:8" ht="13.5">
      <c r="A540" s="4">
        <v>538</v>
      </c>
      <c r="B540" s="6" t="s">
        <v>101</v>
      </c>
      <c r="C540" s="6" t="str">
        <f>"2020045303"</f>
        <v>2020045303</v>
      </c>
      <c r="D540" s="1">
        <v>64.9</v>
      </c>
      <c r="E540" s="2">
        <v>68</v>
      </c>
      <c r="F540" s="3">
        <f aca="true" t="shared" si="57" ref="F540:F567">D540+E540</f>
        <v>132.9</v>
      </c>
      <c r="G540" s="1">
        <v>75.6</v>
      </c>
      <c r="H540" s="16">
        <f t="shared" si="55"/>
        <v>70.11</v>
      </c>
    </row>
    <row r="541" spans="1:8" ht="13.5">
      <c r="A541" s="4">
        <v>539</v>
      </c>
      <c r="B541" s="6" t="s">
        <v>101</v>
      </c>
      <c r="C541" s="6" t="str">
        <f>"2020045814"</f>
        <v>2020045814</v>
      </c>
      <c r="D541" s="1">
        <v>63.3</v>
      </c>
      <c r="E541" s="2">
        <v>64</v>
      </c>
      <c r="F541" s="3">
        <f t="shared" si="57"/>
        <v>127.3</v>
      </c>
      <c r="G541" s="1">
        <v>74.2</v>
      </c>
      <c r="H541" s="16">
        <f t="shared" si="55"/>
        <v>67.87</v>
      </c>
    </row>
    <row r="542" spans="1:8" ht="13.5">
      <c r="A542" s="4">
        <v>540</v>
      </c>
      <c r="B542" s="6" t="s">
        <v>101</v>
      </c>
      <c r="C542" s="6" t="str">
        <f>"2020014012"</f>
        <v>2020014012</v>
      </c>
      <c r="D542" s="1">
        <v>61.5</v>
      </c>
      <c r="E542" s="2">
        <v>59.5</v>
      </c>
      <c r="F542" s="3">
        <f t="shared" si="57"/>
        <v>121</v>
      </c>
      <c r="G542" s="1">
        <v>76.4</v>
      </c>
      <c r="H542" s="16">
        <f t="shared" si="55"/>
        <v>66.86</v>
      </c>
    </row>
    <row r="543" spans="1:8" ht="13.5">
      <c r="A543" s="4">
        <v>541</v>
      </c>
      <c r="B543" s="6" t="s">
        <v>101</v>
      </c>
      <c r="C543" s="6" t="str">
        <f>"2020040523"</f>
        <v>2020040523</v>
      </c>
      <c r="D543" s="1">
        <v>61.6</v>
      </c>
      <c r="E543" s="2">
        <v>54</v>
      </c>
      <c r="F543" s="3">
        <f t="shared" si="57"/>
        <v>115.6</v>
      </c>
      <c r="G543" s="1">
        <v>73.6</v>
      </c>
      <c r="H543" s="16">
        <f t="shared" si="55"/>
        <v>64.12</v>
      </c>
    </row>
    <row r="544" spans="1:8" ht="13.5">
      <c r="A544" s="4">
        <v>542</v>
      </c>
      <c r="B544" s="6" t="s">
        <v>101</v>
      </c>
      <c r="C544" s="6" t="str">
        <f>"2020024207"</f>
        <v>2020024207</v>
      </c>
      <c r="D544" s="1">
        <v>58</v>
      </c>
      <c r="E544" s="2">
        <v>62.5</v>
      </c>
      <c r="F544" s="3">
        <f t="shared" si="57"/>
        <v>120.5</v>
      </c>
      <c r="G544" s="1">
        <v>67.2</v>
      </c>
      <c r="H544" s="16">
        <f t="shared" si="55"/>
        <v>63.03</v>
      </c>
    </row>
    <row r="545" spans="1:8" ht="13.5">
      <c r="A545" s="4">
        <v>543</v>
      </c>
      <c r="B545" s="6" t="s">
        <v>101</v>
      </c>
      <c r="C545" s="6" t="str">
        <f>"2020021630"</f>
        <v>2020021630</v>
      </c>
      <c r="D545" s="1">
        <v>60.6</v>
      </c>
      <c r="E545" s="2">
        <v>54.5</v>
      </c>
      <c r="F545" s="3">
        <f t="shared" si="57"/>
        <v>115.1</v>
      </c>
      <c r="G545" s="1">
        <v>70.6</v>
      </c>
      <c r="H545" s="16">
        <f t="shared" si="55"/>
        <v>62.769999999999996</v>
      </c>
    </row>
    <row r="546" spans="1:8" ht="13.5">
      <c r="A546" s="4">
        <v>544</v>
      </c>
      <c r="B546" s="6" t="s">
        <v>81</v>
      </c>
      <c r="C546" s="6" t="str">
        <f>"2020033808"</f>
        <v>2020033808</v>
      </c>
      <c r="D546" s="1">
        <v>80.4</v>
      </c>
      <c r="E546" s="2">
        <v>80</v>
      </c>
      <c r="F546" s="3">
        <f t="shared" si="57"/>
        <v>160.4</v>
      </c>
      <c r="G546" s="1">
        <v>73.6</v>
      </c>
      <c r="H546" s="16">
        <f t="shared" si="55"/>
        <v>77.56</v>
      </c>
    </row>
    <row r="547" spans="1:8" ht="13.5">
      <c r="A547" s="4">
        <v>545</v>
      </c>
      <c r="B547" s="6" t="s">
        <v>81</v>
      </c>
      <c r="C547" s="6" t="str">
        <f>"2020021009"</f>
        <v>2020021009</v>
      </c>
      <c r="D547" s="1">
        <v>78.1</v>
      </c>
      <c r="E547" s="2">
        <v>78.5</v>
      </c>
      <c r="F547" s="3">
        <f t="shared" si="57"/>
        <v>156.6</v>
      </c>
      <c r="G547" s="1">
        <v>75.4</v>
      </c>
      <c r="H547" s="16">
        <f t="shared" si="55"/>
        <v>77.14</v>
      </c>
    </row>
    <row r="548" spans="1:8" ht="13.5">
      <c r="A548" s="4">
        <v>546</v>
      </c>
      <c r="B548" s="6" t="s">
        <v>149</v>
      </c>
      <c r="C548" s="6" t="str">
        <f>"2020042215"</f>
        <v>2020042215</v>
      </c>
      <c r="D548" s="1">
        <v>75.1</v>
      </c>
      <c r="E548" s="2">
        <v>76</v>
      </c>
      <c r="F548" s="3">
        <f t="shared" si="57"/>
        <v>151.1</v>
      </c>
      <c r="G548" s="1">
        <v>75.4</v>
      </c>
      <c r="H548" s="16">
        <f t="shared" si="55"/>
        <v>75.49000000000001</v>
      </c>
    </row>
    <row r="549" spans="1:8" ht="13.5">
      <c r="A549" s="4">
        <v>547</v>
      </c>
      <c r="B549" s="6" t="s">
        <v>149</v>
      </c>
      <c r="C549" s="6" t="str">
        <f>"2020045521"</f>
        <v>2020045521</v>
      </c>
      <c r="D549" s="1">
        <v>71.1</v>
      </c>
      <c r="E549" s="2">
        <v>72</v>
      </c>
      <c r="F549" s="3">
        <f t="shared" si="57"/>
        <v>143.1</v>
      </c>
      <c r="G549" s="1">
        <v>75.2</v>
      </c>
      <c r="H549" s="16">
        <f t="shared" si="55"/>
        <v>73.01</v>
      </c>
    </row>
    <row r="550" spans="1:8" ht="13.5">
      <c r="A550" s="4">
        <v>548</v>
      </c>
      <c r="B550" s="6" t="s">
        <v>149</v>
      </c>
      <c r="C550" s="6" t="str">
        <f>"2020021726"</f>
        <v>2020021726</v>
      </c>
      <c r="D550" s="1">
        <v>62.1</v>
      </c>
      <c r="E550" s="2">
        <v>76.5</v>
      </c>
      <c r="F550" s="3">
        <f t="shared" si="57"/>
        <v>138.6</v>
      </c>
      <c r="G550" s="1">
        <v>75</v>
      </c>
      <c r="H550" s="16">
        <f t="shared" si="55"/>
        <v>71.58</v>
      </c>
    </row>
    <row r="551" spans="1:8" ht="13.5">
      <c r="A551" s="4">
        <v>549</v>
      </c>
      <c r="B551" s="6" t="s">
        <v>170</v>
      </c>
      <c r="C551" s="6" t="str">
        <f>"2020024505"</f>
        <v>2020024505</v>
      </c>
      <c r="D551" s="1">
        <v>65.4</v>
      </c>
      <c r="E551" s="2">
        <v>68.5</v>
      </c>
      <c r="F551" s="3">
        <f t="shared" si="57"/>
        <v>133.9</v>
      </c>
      <c r="G551" s="1">
        <v>78</v>
      </c>
      <c r="H551" s="16">
        <f t="shared" si="55"/>
        <v>71.37</v>
      </c>
    </row>
    <row r="552" spans="1:8" ht="13.5">
      <c r="A552" s="4">
        <v>550</v>
      </c>
      <c r="B552" s="6" t="s">
        <v>170</v>
      </c>
      <c r="C552" s="6" t="str">
        <f>"2020043416"</f>
        <v>2020043416</v>
      </c>
      <c r="D552" s="1">
        <v>63.2</v>
      </c>
      <c r="E552" s="2">
        <v>56</v>
      </c>
      <c r="F552" s="3">
        <f t="shared" si="57"/>
        <v>119.2</v>
      </c>
      <c r="G552" s="9">
        <v>76</v>
      </c>
      <c r="H552" s="16">
        <f t="shared" si="55"/>
        <v>66.16</v>
      </c>
    </row>
    <row r="553" spans="1:8" ht="15.75">
      <c r="A553" s="4">
        <v>551</v>
      </c>
      <c r="B553" s="6" t="s">
        <v>170</v>
      </c>
      <c r="C553" s="6" t="str">
        <f>"2020033818"</f>
        <v>2020033818</v>
      </c>
      <c r="D553" s="1">
        <v>67.4</v>
      </c>
      <c r="E553" s="2">
        <v>56</v>
      </c>
      <c r="F553" s="3">
        <f t="shared" si="57"/>
        <v>123.4</v>
      </c>
      <c r="G553" s="10" t="s">
        <v>232</v>
      </c>
      <c r="H553" s="16">
        <f>F553/2*0.6</f>
        <v>37.02</v>
      </c>
    </row>
    <row r="554" spans="1:8" ht="13.5">
      <c r="A554" s="4">
        <v>552</v>
      </c>
      <c r="B554" s="6" t="s">
        <v>132</v>
      </c>
      <c r="C554" s="6" t="str">
        <f>"2020041624"</f>
        <v>2020041624</v>
      </c>
      <c r="D554" s="1">
        <v>70.5</v>
      </c>
      <c r="E554" s="2">
        <v>80.5</v>
      </c>
      <c r="F554" s="3">
        <f t="shared" si="57"/>
        <v>151</v>
      </c>
      <c r="G554" s="1">
        <v>75.6</v>
      </c>
      <c r="H554" s="16">
        <f aca="true" t="shared" si="58" ref="H554:H562">F554*0.5*0.6+G554*0.4</f>
        <v>75.53999999999999</v>
      </c>
    </row>
    <row r="555" spans="1:8" ht="13.5">
      <c r="A555" s="4">
        <v>553</v>
      </c>
      <c r="B555" s="6" t="s">
        <v>132</v>
      </c>
      <c r="C555" s="6" t="str">
        <f>"2020045428"</f>
        <v>2020045428</v>
      </c>
      <c r="D555" s="1">
        <v>69.3</v>
      </c>
      <c r="E555" s="2">
        <v>78.5</v>
      </c>
      <c r="F555" s="3">
        <f t="shared" si="57"/>
        <v>147.8</v>
      </c>
      <c r="G555" s="1">
        <v>77</v>
      </c>
      <c r="H555" s="16">
        <f t="shared" si="58"/>
        <v>75.14</v>
      </c>
    </row>
    <row r="556" spans="1:8" ht="13.5">
      <c r="A556" s="4">
        <v>554</v>
      </c>
      <c r="B556" s="6" t="s">
        <v>132</v>
      </c>
      <c r="C556" s="6" t="str">
        <f>"2020033809"</f>
        <v>2020033809</v>
      </c>
      <c r="D556" s="1">
        <v>72.2</v>
      </c>
      <c r="E556" s="2">
        <v>73</v>
      </c>
      <c r="F556" s="3">
        <f t="shared" si="57"/>
        <v>145.2</v>
      </c>
      <c r="G556" s="1">
        <v>77.4</v>
      </c>
      <c r="H556" s="16">
        <f t="shared" si="58"/>
        <v>74.52</v>
      </c>
    </row>
    <row r="557" spans="1:8" ht="13.5">
      <c r="A557" s="4">
        <v>555</v>
      </c>
      <c r="B557" s="6" t="s">
        <v>159</v>
      </c>
      <c r="C557" s="6" t="str">
        <f>"2020040115"</f>
        <v>2020040115</v>
      </c>
      <c r="D557" s="1">
        <v>69.7</v>
      </c>
      <c r="E557" s="2">
        <v>59.5</v>
      </c>
      <c r="F557" s="3">
        <f t="shared" si="57"/>
        <v>129.2</v>
      </c>
      <c r="G557" s="1">
        <v>79</v>
      </c>
      <c r="H557" s="16">
        <f t="shared" si="58"/>
        <v>70.36</v>
      </c>
    </row>
    <row r="558" spans="1:8" ht="13.5">
      <c r="A558" s="4">
        <v>556</v>
      </c>
      <c r="B558" s="6" t="s">
        <v>159</v>
      </c>
      <c r="C558" s="6" t="str">
        <f>"2020033111"</f>
        <v>2020033111</v>
      </c>
      <c r="D558" s="1">
        <v>60.2</v>
      </c>
      <c r="E558" s="2">
        <v>63.5</v>
      </c>
      <c r="F558" s="3">
        <f t="shared" si="57"/>
        <v>123.7</v>
      </c>
      <c r="G558" s="1">
        <v>72.2</v>
      </c>
      <c r="H558" s="16">
        <f t="shared" si="58"/>
        <v>65.99000000000001</v>
      </c>
    </row>
    <row r="559" spans="1:8" ht="13.5">
      <c r="A559" s="4">
        <v>557</v>
      </c>
      <c r="B559" s="6" t="s">
        <v>166</v>
      </c>
      <c r="C559" s="6" t="str">
        <f>"2020013104"</f>
        <v>2020013104</v>
      </c>
      <c r="D559" s="1">
        <v>75.9</v>
      </c>
      <c r="E559" s="2">
        <v>77</v>
      </c>
      <c r="F559" s="3">
        <f t="shared" si="57"/>
        <v>152.9</v>
      </c>
      <c r="G559" s="1">
        <v>77.6</v>
      </c>
      <c r="H559" s="16">
        <f t="shared" si="58"/>
        <v>76.91</v>
      </c>
    </row>
    <row r="560" spans="1:8" ht="13.5">
      <c r="A560" s="4">
        <v>558</v>
      </c>
      <c r="B560" s="6" t="s">
        <v>166</v>
      </c>
      <c r="C560" s="6" t="str">
        <f>"2020023123"</f>
        <v>2020023123</v>
      </c>
      <c r="D560" s="1">
        <v>65.9</v>
      </c>
      <c r="E560" s="2">
        <v>72</v>
      </c>
      <c r="F560" s="3">
        <f t="shared" si="57"/>
        <v>137.9</v>
      </c>
      <c r="G560" s="1">
        <v>71.4</v>
      </c>
      <c r="H560" s="16">
        <f t="shared" si="58"/>
        <v>69.93</v>
      </c>
    </row>
    <row r="561" spans="1:8" ht="13.5">
      <c r="A561" s="4">
        <v>559</v>
      </c>
      <c r="B561" s="6" t="s">
        <v>21</v>
      </c>
      <c r="C561" s="6" t="str">
        <f>"2020022824"</f>
        <v>2020022824</v>
      </c>
      <c r="D561" s="1">
        <v>74</v>
      </c>
      <c r="E561" s="2">
        <v>71.5</v>
      </c>
      <c r="F561" s="3">
        <f t="shared" si="57"/>
        <v>145.5</v>
      </c>
      <c r="G561" s="1">
        <v>77.2</v>
      </c>
      <c r="H561" s="16">
        <f t="shared" si="58"/>
        <v>74.53</v>
      </c>
    </row>
    <row r="562" spans="1:8" ht="13.5">
      <c r="A562" s="4">
        <v>560</v>
      </c>
      <c r="B562" s="6" t="s">
        <v>21</v>
      </c>
      <c r="C562" s="6" t="str">
        <f>"2020045007"</f>
        <v>2020045007</v>
      </c>
      <c r="D562" s="1">
        <v>65.4</v>
      </c>
      <c r="E562" s="2">
        <v>69.5</v>
      </c>
      <c r="F562" s="3">
        <f t="shared" si="57"/>
        <v>134.9</v>
      </c>
      <c r="G562" s="9">
        <v>73.8</v>
      </c>
      <c r="H562" s="16">
        <f t="shared" si="58"/>
        <v>69.99</v>
      </c>
    </row>
    <row r="563" spans="1:8" ht="15.75">
      <c r="A563" s="4">
        <v>561</v>
      </c>
      <c r="B563" s="6" t="s">
        <v>21</v>
      </c>
      <c r="C563" s="6" t="str">
        <f>"2020021202"</f>
        <v>2020021202</v>
      </c>
      <c r="D563" s="1">
        <v>68.2</v>
      </c>
      <c r="E563" s="2">
        <v>67.5</v>
      </c>
      <c r="F563" s="3">
        <f t="shared" si="57"/>
        <v>135.7</v>
      </c>
      <c r="G563" s="10" t="s">
        <v>232</v>
      </c>
      <c r="H563" s="16">
        <f>F563/2*0.6</f>
        <v>40.709999999999994</v>
      </c>
    </row>
    <row r="564" spans="1:8" ht="13.5">
      <c r="A564" s="4">
        <v>562</v>
      </c>
      <c r="B564" s="6" t="s">
        <v>76</v>
      </c>
      <c r="C564" s="6" t="str">
        <f>"2020023004"</f>
        <v>2020023004</v>
      </c>
      <c r="D564" s="1">
        <v>71</v>
      </c>
      <c r="E564" s="2">
        <v>75</v>
      </c>
      <c r="F564" s="3">
        <f t="shared" si="57"/>
        <v>146</v>
      </c>
      <c r="G564" s="1">
        <v>75.88</v>
      </c>
      <c r="H564" s="16">
        <f>F564*0.5*0.6+G564*0.4</f>
        <v>74.152</v>
      </c>
    </row>
    <row r="565" spans="1:8" ht="13.5">
      <c r="A565" s="4">
        <v>563</v>
      </c>
      <c r="B565" s="6" t="s">
        <v>76</v>
      </c>
      <c r="C565" s="6" t="str">
        <f>"2020012418"</f>
        <v>2020012418</v>
      </c>
      <c r="D565" s="1">
        <v>68.9</v>
      </c>
      <c r="E565" s="2">
        <v>72.5</v>
      </c>
      <c r="F565" s="3">
        <f t="shared" si="57"/>
        <v>141.4</v>
      </c>
      <c r="G565" s="1">
        <v>75.9</v>
      </c>
      <c r="H565" s="16">
        <f>F565*0.5*0.6+G565*0.4</f>
        <v>72.78</v>
      </c>
    </row>
    <row r="566" spans="1:8" ht="15.75">
      <c r="A566" s="4">
        <v>564</v>
      </c>
      <c r="B566" s="6" t="s">
        <v>76</v>
      </c>
      <c r="C566" s="6" t="str">
        <f>"2020032917"</f>
        <v>2020032917</v>
      </c>
      <c r="D566" s="1">
        <v>65.6</v>
      </c>
      <c r="E566" s="2">
        <v>55.5</v>
      </c>
      <c r="F566" s="3">
        <f t="shared" si="57"/>
        <v>121.1</v>
      </c>
      <c r="G566" s="8" t="s">
        <v>232</v>
      </c>
      <c r="H566" s="16">
        <f>F566/2*0.6</f>
        <v>36.33</v>
      </c>
    </row>
    <row r="567" spans="1:8" ht="13.5">
      <c r="A567" s="4">
        <v>565</v>
      </c>
      <c r="B567" s="6" t="s">
        <v>103</v>
      </c>
      <c r="C567" s="6" t="str">
        <f>"2020046226"</f>
        <v>2020046226</v>
      </c>
      <c r="D567" s="1">
        <v>73.8</v>
      </c>
      <c r="E567" s="2">
        <v>74</v>
      </c>
      <c r="F567" s="3">
        <f t="shared" si="57"/>
        <v>147.8</v>
      </c>
      <c r="G567" s="1">
        <v>78.1</v>
      </c>
      <c r="H567" s="16">
        <f aca="true" t="shared" si="59" ref="H567:H589">F567*0.5*0.6+G567*0.4</f>
        <v>75.58</v>
      </c>
    </row>
    <row r="568" spans="1:8" ht="13.5">
      <c r="A568" s="4">
        <v>566</v>
      </c>
      <c r="B568" s="6" t="s">
        <v>103</v>
      </c>
      <c r="C568" s="6" t="s">
        <v>230</v>
      </c>
      <c r="D568" s="1">
        <v>67.5</v>
      </c>
      <c r="E568" s="2">
        <v>77.5</v>
      </c>
      <c r="F568" s="7">
        <v>145</v>
      </c>
      <c r="G568" s="1">
        <v>78.5</v>
      </c>
      <c r="H568" s="16">
        <f t="shared" si="59"/>
        <v>74.9</v>
      </c>
    </row>
    <row r="569" spans="1:8" ht="13.5">
      <c r="A569" s="4">
        <v>567</v>
      </c>
      <c r="B569" s="6" t="s">
        <v>82</v>
      </c>
      <c r="C569" s="6" t="str">
        <f>"2020040611"</f>
        <v>2020040611</v>
      </c>
      <c r="D569" s="1">
        <v>73</v>
      </c>
      <c r="E569" s="2">
        <v>76.5</v>
      </c>
      <c r="F569" s="3">
        <f aca="true" t="shared" si="60" ref="F569:F577">D569+E569</f>
        <v>149.5</v>
      </c>
      <c r="G569" s="1">
        <v>75.1</v>
      </c>
      <c r="H569" s="16">
        <f t="shared" si="59"/>
        <v>74.89</v>
      </c>
    </row>
    <row r="570" spans="1:8" ht="13.5">
      <c r="A570" s="4">
        <v>568</v>
      </c>
      <c r="B570" s="6" t="s">
        <v>82</v>
      </c>
      <c r="C570" s="6" t="str">
        <f>"2020013027"</f>
        <v>2020013027</v>
      </c>
      <c r="D570" s="1">
        <v>76.6</v>
      </c>
      <c r="E570" s="2">
        <v>74</v>
      </c>
      <c r="F570" s="3">
        <f t="shared" si="60"/>
        <v>150.6</v>
      </c>
      <c r="G570" s="1">
        <v>72.7</v>
      </c>
      <c r="H570" s="16">
        <f t="shared" si="59"/>
        <v>74.26</v>
      </c>
    </row>
    <row r="571" spans="1:8" ht="13.5">
      <c r="A571" s="4">
        <v>569</v>
      </c>
      <c r="B571" s="6" t="s">
        <v>82</v>
      </c>
      <c r="C571" s="6" t="str">
        <f>"2020010102"</f>
        <v>2020010102</v>
      </c>
      <c r="D571" s="1">
        <v>70.2</v>
      </c>
      <c r="E571" s="2">
        <v>77.5</v>
      </c>
      <c r="F571" s="3">
        <f t="shared" si="60"/>
        <v>147.7</v>
      </c>
      <c r="G571" s="1">
        <v>72.2</v>
      </c>
      <c r="H571" s="16">
        <f t="shared" si="59"/>
        <v>73.19</v>
      </c>
    </row>
    <row r="572" spans="1:8" ht="13.5">
      <c r="A572" s="4">
        <v>570</v>
      </c>
      <c r="B572" s="6" t="s">
        <v>161</v>
      </c>
      <c r="C572" s="6" t="str">
        <f>"2020012818"</f>
        <v>2020012818</v>
      </c>
      <c r="D572" s="1">
        <v>67.5</v>
      </c>
      <c r="E572" s="2">
        <v>62.5</v>
      </c>
      <c r="F572" s="3">
        <f t="shared" si="60"/>
        <v>130</v>
      </c>
      <c r="G572" s="1">
        <v>75.5</v>
      </c>
      <c r="H572" s="16">
        <f t="shared" si="59"/>
        <v>69.2</v>
      </c>
    </row>
    <row r="573" spans="1:8" ht="13.5">
      <c r="A573" s="4">
        <v>571</v>
      </c>
      <c r="B573" s="6" t="s">
        <v>161</v>
      </c>
      <c r="C573" s="6" t="str">
        <f>"2020041319"</f>
        <v>2020041319</v>
      </c>
      <c r="D573" s="1">
        <v>68</v>
      </c>
      <c r="E573" s="2">
        <v>59</v>
      </c>
      <c r="F573" s="3">
        <f t="shared" si="60"/>
        <v>127</v>
      </c>
      <c r="G573" s="1">
        <v>73.44</v>
      </c>
      <c r="H573" s="16">
        <f t="shared" si="59"/>
        <v>67.476</v>
      </c>
    </row>
    <row r="574" spans="1:8" ht="13.5">
      <c r="A574" s="4">
        <v>572</v>
      </c>
      <c r="B574" s="6" t="s">
        <v>161</v>
      </c>
      <c r="C574" s="6" t="str">
        <f>"2020011823"</f>
        <v>2020011823</v>
      </c>
      <c r="D574" s="1">
        <v>62.6</v>
      </c>
      <c r="E574" s="2">
        <v>64</v>
      </c>
      <c r="F574" s="3">
        <f t="shared" si="60"/>
        <v>126.6</v>
      </c>
      <c r="G574" s="1">
        <v>56.2</v>
      </c>
      <c r="H574" s="16">
        <f t="shared" si="59"/>
        <v>60.46</v>
      </c>
    </row>
    <row r="575" spans="1:8" ht="13.5">
      <c r="A575" s="4">
        <v>573</v>
      </c>
      <c r="B575" s="6" t="s">
        <v>157</v>
      </c>
      <c r="C575" s="6" t="str">
        <f>"2020033227"</f>
        <v>2020033227</v>
      </c>
      <c r="D575" s="1">
        <v>66.8</v>
      </c>
      <c r="E575" s="2">
        <v>71</v>
      </c>
      <c r="F575" s="3">
        <f t="shared" si="60"/>
        <v>137.8</v>
      </c>
      <c r="G575" s="1">
        <v>80</v>
      </c>
      <c r="H575" s="16">
        <f t="shared" si="59"/>
        <v>73.34</v>
      </c>
    </row>
    <row r="576" spans="1:8" ht="13.5">
      <c r="A576" s="4">
        <v>574</v>
      </c>
      <c r="B576" s="6" t="s">
        <v>157</v>
      </c>
      <c r="C576" s="6" t="str">
        <f>"2020020617"</f>
        <v>2020020617</v>
      </c>
      <c r="D576" s="1">
        <v>67.6</v>
      </c>
      <c r="E576" s="2">
        <v>63.5</v>
      </c>
      <c r="F576" s="3">
        <f t="shared" si="60"/>
        <v>131.1</v>
      </c>
      <c r="G576" s="1">
        <v>72.2</v>
      </c>
      <c r="H576" s="16">
        <f t="shared" si="59"/>
        <v>68.21000000000001</v>
      </c>
    </row>
    <row r="577" spans="1:8" ht="13.5">
      <c r="A577" s="4">
        <v>575</v>
      </c>
      <c r="B577" s="6" t="s">
        <v>43</v>
      </c>
      <c r="C577" s="6" t="str">
        <f>"2020042728"</f>
        <v>2020042728</v>
      </c>
      <c r="D577" s="1">
        <v>74.9</v>
      </c>
      <c r="E577" s="2">
        <v>72</v>
      </c>
      <c r="F577" s="3">
        <f t="shared" si="60"/>
        <v>146.9</v>
      </c>
      <c r="G577" s="1">
        <v>75.7</v>
      </c>
      <c r="H577" s="16">
        <f t="shared" si="59"/>
        <v>74.35</v>
      </c>
    </row>
    <row r="578" spans="1:8" ht="13.5">
      <c r="A578" s="4">
        <v>576</v>
      </c>
      <c r="B578" s="6" t="s">
        <v>43</v>
      </c>
      <c r="C578" s="6" t="s">
        <v>231</v>
      </c>
      <c r="D578" s="1">
        <v>67.9</v>
      </c>
      <c r="E578" s="2">
        <v>75</v>
      </c>
      <c r="F578" s="7">
        <v>142.9</v>
      </c>
      <c r="G578" s="1">
        <v>71.6</v>
      </c>
      <c r="H578" s="16">
        <f t="shared" si="59"/>
        <v>71.50999999999999</v>
      </c>
    </row>
    <row r="579" spans="1:8" ht="13.5">
      <c r="A579" s="4">
        <v>577</v>
      </c>
      <c r="B579" s="6" t="s">
        <v>14</v>
      </c>
      <c r="C579" s="6" t="str">
        <f>"2020022304"</f>
        <v>2020022304</v>
      </c>
      <c r="D579" s="1">
        <v>73.7</v>
      </c>
      <c r="E579" s="2">
        <v>74.5</v>
      </c>
      <c r="F579" s="3">
        <f aca="true" t="shared" si="61" ref="F579:F589">D579+E579</f>
        <v>148.2</v>
      </c>
      <c r="G579" s="1">
        <v>77</v>
      </c>
      <c r="H579" s="16">
        <f t="shared" si="59"/>
        <v>75.25999999999999</v>
      </c>
    </row>
    <row r="580" spans="1:8" ht="13.5">
      <c r="A580" s="4">
        <v>578</v>
      </c>
      <c r="B580" s="6" t="s">
        <v>14</v>
      </c>
      <c r="C580" s="6" t="str">
        <f>"2020012423"</f>
        <v>2020012423</v>
      </c>
      <c r="D580" s="1">
        <v>68.3</v>
      </c>
      <c r="E580" s="2">
        <v>69</v>
      </c>
      <c r="F580" s="3">
        <f t="shared" si="61"/>
        <v>137.3</v>
      </c>
      <c r="G580" s="1">
        <v>70.4</v>
      </c>
      <c r="H580" s="16">
        <f t="shared" si="59"/>
        <v>69.35000000000001</v>
      </c>
    </row>
    <row r="581" spans="1:8" ht="13.5">
      <c r="A581" s="4">
        <v>579</v>
      </c>
      <c r="B581" s="6" t="s">
        <v>14</v>
      </c>
      <c r="C581" s="6" t="str">
        <f>"2020040912"</f>
        <v>2020040912</v>
      </c>
      <c r="D581" s="1">
        <v>62.7</v>
      </c>
      <c r="E581" s="2">
        <v>76.5</v>
      </c>
      <c r="F581" s="3">
        <f t="shared" si="61"/>
        <v>139.2</v>
      </c>
      <c r="G581" s="1">
        <v>66.2</v>
      </c>
      <c r="H581" s="16">
        <f t="shared" si="59"/>
        <v>68.24000000000001</v>
      </c>
    </row>
    <row r="582" spans="1:8" ht="13.5">
      <c r="A582" s="4">
        <v>580</v>
      </c>
      <c r="B582" s="6" t="s">
        <v>72</v>
      </c>
      <c r="C582" s="6" t="str">
        <f>"2020021930"</f>
        <v>2020021930</v>
      </c>
      <c r="D582" s="1">
        <v>74.9</v>
      </c>
      <c r="E582" s="2">
        <v>79</v>
      </c>
      <c r="F582" s="3">
        <f t="shared" si="61"/>
        <v>153.9</v>
      </c>
      <c r="G582" s="1">
        <v>76.84</v>
      </c>
      <c r="H582" s="16">
        <f t="shared" si="59"/>
        <v>76.906</v>
      </c>
    </row>
    <row r="583" spans="1:8" ht="13.5">
      <c r="A583" s="4">
        <v>581</v>
      </c>
      <c r="B583" s="6" t="s">
        <v>72</v>
      </c>
      <c r="C583" s="6" t="str">
        <f>"2020013608"</f>
        <v>2020013608</v>
      </c>
      <c r="D583" s="1">
        <v>69.7</v>
      </c>
      <c r="E583" s="2">
        <v>67.5</v>
      </c>
      <c r="F583" s="3">
        <f t="shared" si="61"/>
        <v>137.2</v>
      </c>
      <c r="G583" s="1">
        <v>73.6</v>
      </c>
      <c r="H583" s="16">
        <f t="shared" si="59"/>
        <v>70.6</v>
      </c>
    </row>
    <row r="584" spans="1:8" ht="13.5">
      <c r="A584" s="4">
        <v>582</v>
      </c>
      <c r="B584" s="6" t="s">
        <v>72</v>
      </c>
      <c r="C584" s="6" t="str">
        <f>"2020023608"</f>
        <v>2020023608</v>
      </c>
      <c r="D584" s="1">
        <v>66.4</v>
      </c>
      <c r="E584" s="2">
        <v>72</v>
      </c>
      <c r="F584" s="3">
        <f t="shared" si="61"/>
        <v>138.4</v>
      </c>
      <c r="G584" s="1">
        <v>70</v>
      </c>
      <c r="H584" s="16">
        <f t="shared" si="59"/>
        <v>69.52000000000001</v>
      </c>
    </row>
    <row r="585" spans="1:8" ht="13.5">
      <c r="A585" s="4">
        <v>583</v>
      </c>
      <c r="B585" s="6" t="s">
        <v>167</v>
      </c>
      <c r="C585" s="6" t="str">
        <f>"2020032114"</f>
        <v>2020032114</v>
      </c>
      <c r="D585" s="1">
        <v>69.3</v>
      </c>
      <c r="E585" s="2">
        <v>84.5</v>
      </c>
      <c r="F585" s="3">
        <f t="shared" si="61"/>
        <v>153.8</v>
      </c>
      <c r="G585" s="1">
        <v>75.62</v>
      </c>
      <c r="H585" s="16">
        <f t="shared" si="59"/>
        <v>76.388</v>
      </c>
    </row>
    <row r="586" spans="1:8" ht="13.5">
      <c r="A586" s="4">
        <v>584</v>
      </c>
      <c r="B586" s="6" t="s">
        <v>1</v>
      </c>
      <c r="C586" s="6" t="str">
        <f>"2020030303"</f>
        <v>2020030303</v>
      </c>
      <c r="D586" s="1">
        <v>70.3</v>
      </c>
      <c r="E586" s="2">
        <v>65.5</v>
      </c>
      <c r="F586" s="3">
        <f t="shared" si="61"/>
        <v>135.8</v>
      </c>
      <c r="G586" s="1">
        <v>70.4</v>
      </c>
      <c r="H586" s="16">
        <f t="shared" si="59"/>
        <v>68.9</v>
      </c>
    </row>
    <row r="587" spans="1:8" ht="13.5">
      <c r="A587" s="4">
        <v>585</v>
      </c>
      <c r="B587" s="6" t="s">
        <v>55</v>
      </c>
      <c r="C587" s="6" t="str">
        <f>"2020043520"</f>
        <v>2020043520</v>
      </c>
      <c r="D587" s="1">
        <v>69.2</v>
      </c>
      <c r="E587" s="2">
        <v>89</v>
      </c>
      <c r="F587" s="3">
        <f t="shared" si="61"/>
        <v>158.2</v>
      </c>
      <c r="G587" s="1">
        <v>77.42</v>
      </c>
      <c r="H587" s="16">
        <f t="shared" si="59"/>
        <v>78.428</v>
      </c>
    </row>
    <row r="588" spans="1:8" ht="13.5">
      <c r="A588" s="4">
        <v>586</v>
      </c>
      <c r="B588" s="6" t="s">
        <v>55</v>
      </c>
      <c r="C588" s="6" t="str">
        <f>"2020032807"</f>
        <v>2020032807</v>
      </c>
      <c r="D588" s="1">
        <v>75.3</v>
      </c>
      <c r="E588" s="2">
        <v>83.5</v>
      </c>
      <c r="F588" s="3">
        <f t="shared" si="61"/>
        <v>158.8</v>
      </c>
      <c r="G588" s="1">
        <v>76.1</v>
      </c>
      <c r="H588" s="16">
        <f t="shared" si="59"/>
        <v>78.08</v>
      </c>
    </row>
    <row r="589" spans="1:8" ht="13.5">
      <c r="A589" s="4">
        <v>587</v>
      </c>
      <c r="B589" s="6" t="s">
        <v>55</v>
      </c>
      <c r="C589" s="6" t="str">
        <f>"2020030301"</f>
        <v>2020030301</v>
      </c>
      <c r="D589" s="1">
        <v>75.4</v>
      </c>
      <c r="E589" s="2">
        <v>79</v>
      </c>
      <c r="F589" s="3">
        <f t="shared" si="61"/>
        <v>154.4</v>
      </c>
      <c r="G589" s="1">
        <v>78.6</v>
      </c>
      <c r="H589" s="16">
        <f t="shared" si="59"/>
        <v>77.75999999999999</v>
      </c>
    </row>
  </sheetData>
  <sheetProtection/>
  <mergeCells count="1">
    <mergeCell ref="A1:H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章瑞琪</dc:creator>
  <cp:keywords/>
  <dc:description/>
  <cp:lastModifiedBy>赵立功</cp:lastModifiedBy>
  <cp:lastPrinted>2020-11-20T05:27:34Z</cp:lastPrinted>
  <dcterms:created xsi:type="dcterms:W3CDTF">2019-10-16T05:53:01Z</dcterms:created>
  <dcterms:modified xsi:type="dcterms:W3CDTF">2020-11-30T07:21:56Z</dcterms:modified>
  <cp:category/>
  <cp:version/>
  <cp:contentType/>
  <cp:contentStatus/>
</cp:coreProperties>
</file>